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<sst xmlns="http://schemas.openxmlformats.org/spreadsheetml/2006/main" count="2043" uniqueCount="10">
  <si>
    <t>灵璧县2021年事业单位公开招聘笔试成绩</t>
  </si>
  <si>
    <t>准考证号</t>
  </si>
  <si>
    <t>岗位代码</t>
  </si>
  <si>
    <t>考场号</t>
  </si>
  <si>
    <t>座位号</t>
  </si>
  <si>
    <t>笔试成绩</t>
  </si>
  <si>
    <t>考场记录</t>
  </si>
  <si>
    <t/>
  </si>
  <si>
    <t>缺考</t>
  </si>
  <si>
    <t>作弊嫌疑</t>
  </si>
</sst>
</file>

<file path=xl/styles.xml><?xml version="1.0" encoding="utf-8"?>
<styleSheet xmlns="http://schemas.openxmlformats.org/spreadsheetml/2006/main">
  <numFmts count="5">
    <numFmt numFmtId="176" formatCode="0.00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sz val="1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5" fillId="1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8" borderId="8" applyNumberFormat="0" applyFont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0" fillId="11" borderId="9" applyNumberFormat="0" applyAlignment="0" applyProtection="0">
      <alignment vertical="center"/>
    </xf>
    <xf numFmtId="0" fontId="8" fillId="11" borderId="3" applyNumberFormat="0" applyAlignment="0" applyProtection="0">
      <alignment vertical="center"/>
    </xf>
    <xf numFmtId="0" fontId="5" fillId="3" borderId="2" applyNumberFormat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176" fontId="2" fillId="0" borderId="0" xfId="0" applyNumberFormat="1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038"/>
  <sheetViews>
    <sheetView tabSelected="1" workbookViewId="0">
      <selection activeCell="A1" sqref="A1:F1"/>
    </sheetView>
  </sheetViews>
  <sheetFormatPr defaultColWidth="9" defaultRowHeight="14.25" outlineLevelCol="5"/>
  <cols>
    <col min="1" max="1" width="13.25" style="2" customWidth="1"/>
    <col min="2" max="2" width="11.5" style="2"/>
    <col min="3" max="4" width="9.5" style="2"/>
    <col min="5" max="5" width="11.5" style="3"/>
    <col min="6" max="6" width="11.5" style="2"/>
    <col min="7" max="16382" width="9" style="2"/>
  </cols>
  <sheetData>
    <row r="1" ht="22.5" spans="1:6">
      <c r="A1" s="4" t="s">
        <v>0</v>
      </c>
      <c r="B1" s="4"/>
      <c r="C1" s="4"/>
      <c r="D1" s="4"/>
      <c r="E1" s="4"/>
      <c r="F1" s="4"/>
    </row>
    <row r="2" s="1" customFormat="1" ht="24" customHeight="1" spans="1:6">
      <c r="A2" s="5" t="s">
        <v>1</v>
      </c>
      <c r="B2" s="5" t="s">
        <v>2</v>
      </c>
      <c r="C2" s="5" t="s">
        <v>3</v>
      </c>
      <c r="D2" s="5" t="s">
        <v>4</v>
      </c>
      <c r="E2" s="6" t="s">
        <v>5</v>
      </c>
      <c r="F2" s="5" t="s">
        <v>6</v>
      </c>
    </row>
    <row r="3" s="2" customFormat="1" ht="14.1" customHeight="1" spans="1:6">
      <c r="A3" s="7" t="str">
        <f>"2100900101"</f>
        <v>2100900101</v>
      </c>
      <c r="B3" s="7" t="str">
        <f t="shared" ref="B3:B21" si="0">"2021009"</f>
        <v>2021009</v>
      </c>
      <c r="C3" s="7" t="str">
        <f t="shared" ref="C3:C32" si="1">"001"</f>
        <v>001</v>
      </c>
      <c r="D3" s="7" t="str">
        <f>"01"</f>
        <v>01</v>
      </c>
      <c r="E3" s="8">
        <v>62.6</v>
      </c>
      <c r="F3" s="7" t="s">
        <v>7</v>
      </c>
    </row>
    <row r="4" s="2" customFormat="1" ht="14.1" customHeight="1" spans="1:6">
      <c r="A4" s="7" t="str">
        <f>"2100900102"</f>
        <v>2100900102</v>
      </c>
      <c r="B4" s="7" t="str">
        <f t="shared" si="0"/>
        <v>2021009</v>
      </c>
      <c r="C4" s="7" t="str">
        <f t="shared" si="1"/>
        <v>001</v>
      </c>
      <c r="D4" s="7" t="str">
        <f>"02"</f>
        <v>02</v>
      </c>
      <c r="E4" s="8">
        <v>65.5</v>
      </c>
      <c r="F4" s="7" t="s">
        <v>7</v>
      </c>
    </row>
    <row r="5" s="2" customFormat="1" ht="14.1" customHeight="1" spans="1:6">
      <c r="A5" s="7" t="str">
        <f>"2100900103"</f>
        <v>2100900103</v>
      </c>
      <c r="B5" s="7" t="str">
        <f t="shared" si="0"/>
        <v>2021009</v>
      </c>
      <c r="C5" s="7" t="str">
        <f t="shared" si="1"/>
        <v>001</v>
      </c>
      <c r="D5" s="7" t="str">
        <f>"03"</f>
        <v>03</v>
      </c>
      <c r="E5" s="8">
        <v>69</v>
      </c>
      <c r="F5" s="7" t="s">
        <v>7</v>
      </c>
    </row>
    <row r="6" s="2" customFormat="1" ht="14.1" customHeight="1" spans="1:6">
      <c r="A6" s="7" t="str">
        <f>"2100900104"</f>
        <v>2100900104</v>
      </c>
      <c r="B6" s="7" t="str">
        <f t="shared" si="0"/>
        <v>2021009</v>
      </c>
      <c r="C6" s="7" t="str">
        <f t="shared" si="1"/>
        <v>001</v>
      </c>
      <c r="D6" s="7" t="str">
        <f>"04"</f>
        <v>04</v>
      </c>
      <c r="E6" s="8">
        <v>0</v>
      </c>
      <c r="F6" s="7" t="s">
        <v>8</v>
      </c>
    </row>
    <row r="7" s="2" customFormat="1" ht="14.1" customHeight="1" spans="1:6">
      <c r="A7" s="7" t="str">
        <f>"2100900105"</f>
        <v>2100900105</v>
      </c>
      <c r="B7" s="7" t="str">
        <f t="shared" si="0"/>
        <v>2021009</v>
      </c>
      <c r="C7" s="7" t="str">
        <f t="shared" si="1"/>
        <v>001</v>
      </c>
      <c r="D7" s="7" t="str">
        <f>"05"</f>
        <v>05</v>
      </c>
      <c r="E7" s="8">
        <v>0</v>
      </c>
      <c r="F7" s="7" t="s">
        <v>8</v>
      </c>
    </row>
    <row r="8" s="2" customFormat="1" ht="14.1" customHeight="1" spans="1:6">
      <c r="A8" s="7" t="str">
        <f>"2100900106"</f>
        <v>2100900106</v>
      </c>
      <c r="B8" s="7" t="str">
        <f t="shared" si="0"/>
        <v>2021009</v>
      </c>
      <c r="C8" s="7" t="str">
        <f t="shared" si="1"/>
        <v>001</v>
      </c>
      <c r="D8" s="7" t="str">
        <f>"06"</f>
        <v>06</v>
      </c>
      <c r="E8" s="8">
        <v>78.2</v>
      </c>
      <c r="F8" s="7" t="s">
        <v>7</v>
      </c>
    </row>
    <row r="9" s="2" customFormat="1" ht="14.1" customHeight="1" spans="1:6">
      <c r="A9" s="7" t="str">
        <f>"2100900107"</f>
        <v>2100900107</v>
      </c>
      <c r="B9" s="7" t="str">
        <f t="shared" si="0"/>
        <v>2021009</v>
      </c>
      <c r="C9" s="7" t="str">
        <f t="shared" si="1"/>
        <v>001</v>
      </c>
      <c r="D9" s="7" t="str">
        <f>"07"</f>
        <v>07</v>
      </c>
      <c r="E9" s="8">
        <v>66.7</v>
      </c>
      <c r="F9" s="7" t="s">
        <v>7</v>
      </c>
    </row>
    <row r="10" s="2" customFormat="1" ht="14.1" customHeight="1" spans="1:6">
      <c r="A10" s="7" t="str">
        <f>"2100900108"</f>
        <v>2100900108</v>
      </c>
      <c r="B10" s="7" t="str">
        <f t="shared" si="0"/>
        <v>2021009</v>
      </c>
      <c r="C10" s="7" t="str">
        <f t="shared" si="1"/>
        <v>001</v>
      </c>
      <c r="D10" s="7" t="str">
        <f>"08"</f>
        <v>08</v>
      </c>
      <c r="E10" s="8">
        <v>60.3</v>
      </c>
      <c r="F10" s="7" t="s">
        <v>7</v>
      </c>
    </row>
    <row r="11" s="2" customFormat="1" ht="14.1" customHeight="1" spans="1:6">
      <c r="A11" s="7" t="str">
        <f>"2100900109"</f>
        <v>2100900109</v>
      </c>
      <c r="B11" s="7" t="str">
        <f t="shared" si="0"/>
        <v>2021009</v>
      </c>
      <c r="C11" s="7" t="str">
        <f t="shared" si="1"/>
        <v>001</v>
      </c>
      <c r="D11" s="7" t="str">
        <f>"09"</f>
        <v>09</v>
      </c>
      <c r="E11" s="8">
        <v>0</v>
      </c>
      <c r="F11" s="7" t="s">
        <v>8</v>
      </c>
    </row>
    <row r="12" s="2" customFormat="1" ht="14.1" customHeight="1" spans="1:6">
      <c r="A12" s="7" t="str">
        <f>"2100900110"</f>
        <v>2100900110</v>
      </c>
      <c r="B12" s="7" t="str">
        <f t="shared" si="0"/>
        <v>2021009</v>
      </c>
      <c r="C12" s="7" t="str">
        <f t="shared" si="1"/>
        <v>001</v>
      </c>
      <c r="D12" s="7" t="str">
        <f>"10"</f>
        <v>10</v>
      </c>
      <c r="E12" s="8">
        <v>55.6</v>
      </c>
      <c r="F12" s="7" t="s">
        <v>7</v>
      </c>
    </row>
    <row r="13" s="2" customFormat="1" ht="14.1" customHeight="1" spans="1:6">
      <c r="A13" s="7" t="str">
        <f>"2100900111"</f>
        <v>2100900111</v>
      </c>
      <c r="B13" s="7" t="str">
        <f t="shared" si="0"/>
        <v>2021009</v>
      </c>
      <c r="C13" s="7" t="str">
        <f t="shared" si="1"/>
        <v>001</v>
      </c>
      <c r="D13" s="7" t="str">
        <f>"11"</f>
        <v>11</v>
      </c>
      <c r="E13" s="8">
        <v>67.8</v>
      </c>
      <c r="F13" s="7" t="s">
        <v>7</v>
      </c>
    </row>
    <row r="14" s="2" customFormat="1" ht="14.1" customHeight="1" spans="1:6">
      <c r="A14" s="7" t="str">
        <f>"2100900112"</f>
        <v>2100900112</v>
      </c>
      <c r="B14" s="7" t="str">
        <f t="shared" si="0"/>
        <v>2021009</v>
      </c>
      <c r="C14" s="7" t="str">
        <f t="shared" si="1"/>
        <v>001</v>
      </c>
      <c r="D14" s="7" t="str">
        <f>"12"</f>
        <v>12</v>
      </c>
      <c r="E14" s="8">
        <v>0</v>
      </c>
      <c r="F14" s="7" t="s">
        <v>8</v>
      </c>
    </row>
    <row r="15" s="2" customFormat="1" ht="14.1" customHeight="1" spans="1:6">
      <c r="A15" s="7" t="str">
        <f>"2100900113"</f>
        <v>2100900113</v>
      </c>
      <c r="B15" s="7" t="str">
        <f t="shared" si="0"/>
        <v>2021009</v>
      </c>
      <c r="C15" s="7" t="str">
        <f t="shared" si="1"/>
        <v>001</v>
      </c>
      <c r="D15" s="7" t="str">
        <f>"13"</f>
        <v>13</v>
      </c>
      <c r="E15" s="8">
        <v>60.5</v>
      </c>
      <c r="F15" s="7" t="s">
        <v>7</v>
      </c>
    </row>
    <row r="16" s="2" customFormat="1" ht="14.1" customHeight="1" spans="1:6">
      <c r="A16" s="7" t="str">
        <f>"2100900114"</f>
        <v>2100900114</v>
      </c>
      <c r="B16" s="7" t="str">
        <f t="shared" si="0"/>
        <v>2021009</v>
      </c>
      <c r="C16" s="7" t="str">
        <f t="shared" si="1"/>
        <v>001</v>
      </c>
      <c r="D16" s="7" t="str">
        <f>"14"</f>
        <v>14</v>
      </c>
      <c r="E16" s="8">
        <v>61.6</v>
      </c>
      <c r="F16" s="7" t="s">
        <v>7</v>
      </c>
    </row>
    <row r="17" s="2" customFormat="1" ht="14.1" customHeight="1" spans="1:6">
      <c r="A17" s="7" t="str">
        <f>"2100900115"</f>
        <v>2100900115</v>
      </c>
      <c r="B17" s="7" t="str">
        <f t="shared" si="0"/>
        <v>2021009</v>
      </c>
      <c r="C17" s="7" t="str">
        <f t="shared" si="1"/>
        <v>001</v>
      </c>
      <c r="D17" s="7" t="str">
        <f>"15"</f>
        <v>15</v>
      </c>
      <c r="E17" s="8">
        <v>0</v>
      </c>
      <c r="F17" s="7" t="s">
        <v>8</v>
      </c>
    </row>
    <row r="18" s="2" customFormat="1" ht="14.1" customHeight="1" spans="1:6">
      <c r="A18" s="7" t="str">
        <f>"2100900116"</f>
        <v>2100900116</v>
      </c>
      <c r="B18" s="7" t="str">
        <f t="shared" si="0"/>
        <v>2021009</v>
      </c>
      <c r="C18" s="7" t="str">
        <f t="shared" si="1"/>
        <v>001</v>
      </c>
      <c r="D18" s="7" t="str">
        <f>"16"</f>
        <v>16</v>
      </c>
      <c r="E18" s="8">
        <v>58.5</v>
      </c>
      <c r="F18" s="7" t="s">
        <v>7</v>
      </c>
    </row>
    <row r="19" s="2" customFormat="1" ht="14.1" customHeight="1" spans="1:6">
      <c r="A19" s="7" t="str">
        <f>"2100900117"</f>
        <v>2100900117</v>
      </c>
      <c r="B19" s="7" t="str">
        <f t="shared" si="0"/>
        <v>2021009</v>
      </c>
      <c r="C19" s="7" t="str">
        <f t="shared" si="1"/>
        <v>001</v>
      </c>
      <c r="D19" s="7" t="str">
        <f>"17"</f>
        <v>17</v>
      </c>
      <c r="E19" s="8">
        <v>51.9</v>
      </c>
      <c r="F19" s="7" t="s">
        <v>7</v>
      </c>
    </row>
    <row r="20" s="2" customFormat="1" ht="14.1" customHeight="1" spans="1:6">
      <c r="A20" s="7" t="str">
        <f>"2100900118"</f>
        <v>2100900118</v>
      </c>
      <c r="B20" s="7" t="str">
        <f t="shared" si="0"/>
        <v>2021009</v>
      </c>
      <c r="C20" s="7" t="str">
        <f t="shared" si="1"/>
        <v>001</v>
      </c>
      <c r="D20" s="7" t="str">
        <f>"18"</f>
        <v>18</v>
      </c>
      <c r="E20" s="8">
        <v>0</v>
      </c>
      <c r="F20" s="7" t="s">
        <v>8</v>
      </c>
    </row>
    <row r="21" s="2" customFormat="1" ht="14.1" customHeight="1" spans="1:6">
      <c r="A21" s="7" t="str">
        <f>"2100900119"</f>
        <v>2100900119</v>
      </c>
      <c r="B21" s="7" t="str">
        <f t="shared" si="0"/>
        <v>2021009</v>
      </c>
      <c r="C21" s="7" t="str">
        <f t="shared" si="1"/>
        <v>001</v>
      </c>
      <c r="D21" s="7" t="str">
        <f>"19"</f>
        <v>19</v>
      </c>
      <c r="E21" s="8">
        <v>0</v>
      </c>
      <c r="F21" s="7" t="s">
        <v>8</v>
      </c>
    </row>
    <row r="22" s="2" customFormat="1" ht="14.1" customHeight="1" spans="1:6">
      <c r="A22" s="7" t="str">
        <f>"2101000120"</f>
        <v>2101000120</v>
      </c>
      <c r="B22" s="7" t="str">
        <f t="shared" ref="B22:B47" si="2">"2021010"</f>
        <v>2021010</v>
      </c>
      <c r="C22" s="7" t="str">
        <f t="shared" si="1"/>
        <v>001</v>
      </c>
      <c r="D22" s="7" t="str">
        <f>"20"</f>
        <v>20</v>
      </c>
      <c r="E22" s="8">
        <v>56.8</v>
      </c>
      <c r="F22" s="7" t="s">
        <v>7</v>
      </c>
    </row>
    <row r="23" s="2" customFormat="1" ht="14.1" customHeight="1" spans="1:6">
      <c r="A23" s="7" t="str">
        <f>"2101000121"</f>
        <v>2101000121</v>
      </c>
      <c r="B23" s="7" t="str">
        <f t="shared" si="2"/>
        <v>2021010</v>
      </c>
      <c r="C23" s="7" t="str">
        <f t="shared" si="1"/>
        <v>001</v>
      </c>
      <c r="D23" s="7" t="str">
        <f>"21"</f>
        <v>21</v>
      </c>
      <c r="E23" s="8">
        <v>0</v>
      </c>
      <c r="F23" s="7" t="s">
        <v>8</v>
      </c>
    </row>
    <row r="24" s="2" customFormat="1" ht="14.1" customHeight="1" spans="1:6">
      <c r="A24" s="7" t="str">
        <f>"2101000122"</f>
        <v>2101000122</v>
      </c>
      <c r="B24" s="7" t="str">
        <f t="shared" si="2"/>
        <v>2021010</v>
      </c>
      <c r="C24" s="7" t="str">
        <f t="shared" si="1"/>
        <v>001</v>
      </c>
      <c r="D24" s="7" t="str">
        <f>"22"</f>
        <v>22</v>
      </c>
      <c r="E24" s="8">
        <v>0</v>
      </c>
      <c r="F24" s="7" t="s">
        <v>8</v>
      </c>
    </row>
    <row r="25" s="2" customFormat="1" ht="14.1" customHeight="1" spans="1:6">
      <c r="A25" s="7" t="str">
        <f>"2101000123"</f>
        <v>2101000123</v>
      </c>
      <c r="B25" s="7" t="str">
        <f t="shared" si="2"/>
        <v>2021010</v>
      </c>
      <c r="C25" s="7" t="str">
        <f t="shared" si="1"/>
        <v>001</v>
      </c>
      <c r="D25" s="7" t="str">
        <f>"23"</f>
        <v>23</v>
      </c>
      <c r="E25" s="8">
        <v>0</v>
      </c>
      <c r="F25" s="7" t="s">
        <v>8</v>
      </c>
    </row>
    <row r="26" s="2" customFormat="1" ht="14.1" customHeight="1" spans="1:6">
      <c r="A26" s="7" t="str">
        <f>"2101000124"</f>
        <v>2101000124</v>
      </c>
      <c r="B26" s="7" t="str">
        <f t="shared" si="2"/>
        <v>2021010</v>
      </c>
      <c r="C26" s="7" t="str">
        <f t="shared" si="1"/>
        <v>001</v>
      </c>
      <c r="D26" s="7" t="str">
        <f>"24"</f>
        <v>24</v>
      </c>
      <c r="E26" s="8">
        <v>0</v>
      </c>
      <c r="F26" s="7" t="s">
        <v>8</v>
      </c>
    </row>
    <row r="27" s="2" customFormat="1" ht="14.1" customHeight="1" spans="1:6">
      <c r="A27" s="7" t="str">
        <f>"2101000125"</f>
        <v>2101000125</v>
      </c>
      <c r="B27" s="7" t="str">
        <f t="shared" si="2"/>
        <v>2021010</v>
      </c>
      <c r="C27" s="7" t="str">
        <f t="shared" si="1"/>
        <v>001</v>
      </c>
      <c r="D27" s="7" t="str">
        <f>"25"</f>
        <v>25</v>
      </c>
      <c r="E27" s="8">
        <v>0</v>
      </c>
      <c r="F27" s="7" t="s">
        <v>8</v>
      </c>
    </row>
    <row r="28" s="2" customFormat="1" ht="14.1" customHeight="1" spans="1:6">
      <c r="A28" s="7" t="str">
        <f>"2101000126"</f>
        <v>2101000126</v>
      </c>
      <c r="B28" s="7" t="str">
        <f t="shared" si="2"/>
        <v>2021010</v>
      </c>
      <c r="C28" s="7" t="str">
        <f t="shared" si="1"/>
        <v>001</v>
      </c>
      <c r="D28" s="7" t="str">
        <f>"26"</f>
        <v>26</v>
      </c>
      <c r="E28" s="8">
        <v>0</v>
      </c>
      <c r="F28" s="7" t="s">
        <v>8</v>
      </c>
    </row>
    <row r="29" s="2" customFormat="1" ht="14.1" customHeight="1" spans="1:6">
      <c r="A29" s="7" t="str">
        <f>"2101000127"</f>
        <v>2101000127</v>
      </c>
      <c r="B29" s="7" t="str">
        <f t="shared" si="2"/>
        <v>2021010</v>
      </c>
      <c r="C29" s="7" t="str">
        <f t="shared" si="1"/>
        <v>001</v>
      </c>
      <c r="D29" s="7" t="str">
        <f>"27"</f>
        <v>27</v>
      </c>
      <c r="E29" s="8">
        <v>0</v>
      </c>
      <c r="F29" s="7" t="s">
        <v>8</v>
      </c>
    </row>
    <row r="30" s="2" customFormat="1" ht="14.1" customHeight="1" spans="1:6">
      <c r="A30" s="7" t="str">
        <f>"2101000128"</f>
        <v>2101000128</v>
      </c>
      <c r="B30" s="7" t="str">
        <f t="shared" si="2"/>
        <v>2021010</v>
      </c>
      <c r="C30" s="7" t="str">
        <f t="shared" si="1"/>
        <v>001</v>
      </c>
      <c r="D30" s="7" t="str">
        <f>"28"</f>
        <v>28</v>
      </c>
      <c r="E30" s="8">
        <v>0</v>
      </c>
      <c r="F30" s="7" t="s">
        <v>8</v>
      </c>
    </row>
    <row r="31" s="2" customFormat="1" ht="14.1" customHeight="1" spans="1:6">
      <c r="A31" s="7" t="str">
        <f>"2101000129"</f>
        <v>2101000129</v>
      </c>
      <c r="B31" s="7" t="str">
        <f t="shared" si="2"/>
        <v>2021010</v>
      </c>
      <c r="C31" s="7" t="str">
        <f t="shared" si="1"/>
        <v>001</v>
      </c>
      <c r="D31" s="7" t="str">
        <f>"29"</f>
        <v>29</v>
      </c>
      <c r="E31" s="8">
        <v>0</v>
      </c>
      <c r="F31" s="7" t="s">
        <v>8</v>
      </c>
    </row>
    <row r="32" s="2" customFormat="1" ht="14.1" customHeight="1" spans="1:6">
      <c r="A32" s="7" t="str">
        <f>"2101000130"</f>
        <v>2101000130</v>
      </c>
      <c r="B32" s="7" t="str">
        <f t="shared" si="2"/>
        <v>2021010</v>
      </c>
      <c r="C32" s="7" t="str">
        <f t="shared" si="1"/>
        <v>001</v>
      </c>
      <c r="D32" s="7" t="str">
        <f>"30"</f>
        <v>30</v>
      </c>
      <c r="E32" s="8">
        <v>63.5</v>
      </c>
      <c r="F32" s="7" t="s">
        <v>7</v>
      </c>
    </row>
    <row r="33" s="2" customFormat="1" ht="14.1" customHeight="1" spans="1:6">
      <c r="A33" s="7" t="str">
        <f>"2101000201"</f>
        <v>2101000201</v>
      </c>
      <c r="B33" s="7" t="str">
        <f t="shared" si="2"/>
        <v>2021010</v>
      </c>
      <c r="C33" s="7" t="str">
        <f t="shared" ref="C33:C62" si="3">"002"</f>
        <v>002</v>
      </c>
      <c r="D33" s="7" t="str">
        <f>"01"</f>
        <v>01</v>
      </c>
      <c r="E33" s="8">
        <v>65.4</v>
      </c>
      <c r="F33" s="7" t="s">
        <v>7</v>
      </c>
    </row>
    <row r="34" s="2" customFormat="1" ht="14.1" customHeight="1" spans="1:6">
      <c r="A34" s="7" t="str">
        <f>"2101000202"</f>
        <v>2101000202</v>
      </c>
      <c r="B34" s="7" t="str">
        <f t="shared" si="2"/>
        <v>2021010</v>
      </c>
      <c r="C34" s="7" t="str">
        <f t="shared" si="3"/>
        <v>002</v>
      </c>
      <c r="D34" s="7" t="str">
        <f>"02"</f>
        <v>02</v>
      </c>
      <c r="E34" s="8">
        <v>0</v>
      </c>
      <c r="F34" s="7" t="s">
        <v>8</v>
      </c>
    </row>
    <row r="35" s="2" customFormat="1" ht="14.1" customHeight="1" spans="1:6">
      <c r="A35" s="7" t="str">
        <f>"2101000203"</f>
        <v>2101000203</v>
      </c>
      <c r="B35" s="7" t="str">
        <f t="shared" si="2"/>
        <v>2021010</v>
      </c>
      <c r="C35" s="7" t="str">
        <f t="shared" si="3"/>
        <v>002</v>
      </c>
      <c r="D35" s="7" t="str">
        <f>"03"</f>
        <v>03</v>
      </c>
      <c r="E35" s="8">
        <v>0</v>
      </c>
      <c r="F35" s="7" t="s">
        <v>8</v>
      </c>
    </row>
    <row r="36" s="2" customFormat="1" ht="14.1" customHeight="1" spans="1:6">
      <c r="A36" s="7" t="str">
        <f>"2101000204"</f>
        <v>2101000204</v>
      </c>
      <c r="B36" s="7" t="str">
        <f t="shared" si="2"/>
        <v>2021010</v>
      </c>
      <c r="C36" s="7" t="str">
        <f t="shared" si="3"/>
        <v>002</v>
      </c>
      <c r="D36" s="7" t="str">
        <f>"04"</f>
        <v>04</v>
      </c>
      <c r="E36" s="8">
        <v>63.8</v>
      </c>
      <c r="F36" s="7" t="s">
        <v>7</v>
      </c>
    </row>
    <row r="37" s="2" customFormat="1" ht="14.1" customHeight="1" spans="1:6">
      <c r="A37" s="7" t="str">
        <f>"2101000205"</f>
        <v>2101000205</v>
      </c>
      <c r="B37" s="7" t="str">
        <f t="shared" si="2"/>
        <v>2021010</v>
      </c>
      <c r="C37" s="7" t="str">
        <f t="shared" si="3"/>
        <v>002</v>
      </c>
      <c r="D37" s="7" t="str">
        <f>"05"</f>
        <v>05</v>
      </c>
      <c r="E37" s="8">
        <v>0</v>
      </c>
      <c r="F37" s="7" t="s">
        <v>8</v>
      </c>
    </row>
    <row r="38" s="2" customFormat="1" ht="14.1" customHeight="1" spans="1:6">
      <c r="A38" s="7" t="str">
        <f>"2101000206"</f>
        <v>2101000206</v>
      </c>
      <c r="B38" s="7" t="str">
        <f t="shared" si="2"/>
        <v>2021010</v>
      </c>
      <c r="C38" s="7" t="str">
        <f t="shared" si="3"/>
        <v>002</v>
      </c>
      <c r="D38" s="7" t="str">
        <f>"06"</f>
        <v>06</v>
      </c>
      <c r="E38" s="8">
        <v>64.7</v>
      </c>
      <c r="F38" s="7" t="s">
        <v>7</v>
      </c>
    </row>
    <row r="39" s="2" customFormat="1" ht="14.1" customHeight="1" spans="1:6">
      <c r="A39" s="7" t="str">
        <f>"2101000207"</f>
        <v>2101000207</v>
      </c>
      <c r="B39" s="7" t="str">
        <f t="shared" si="2"/>
        <v>2021010</v>
      </c>
      <c r="C39" s="7" t="str">
        <f t="shared" si="3"/>
        <v>002</v>
      </c>
      <c r="D39" s="7" t="str">
        <f>"07"</f>
        <v>07</v>
      </c>
      <c r="E39" s="8">
        <v>64.1</v>
      </c>
      <c r="F39" s="7" t="s">
        <v>7</v>
      </c>
    </row>
    <row r="40" s="2" customFormat="1" ht="14.1" customHeight="1" spans="1:6">
      <c r="A40" s="7" t="str">
        <f>"2101000208"</f>
        <v>2101000208</v>
      </c>
      <c r="B40" s="7" t="str">
        <f t="shared" si="2"/>
        <v>2021010</v>
      </c>
      <c r="C40" s="7" t="str">
        <f t="shared" si="3"/>
        <v>002</v>
      </c>
      <c r="D40" s="7" t="str">
        <f>"08"</f>
        <v>08</v>
      </c>
      <c r="E40" s="8">
        <v>49.5</v>
      </c>
      <c r="F40" s="7" t="s">
        <v>7</v>
      </c>
    </row>
    <row r="41" s="2" customFormat="1" ht="14.1" customHeight="1" spans="1:6">
      <c r="A41" s="7" t="str">
        <f>"2101000209"</f>
        <v>2101000209</v>
      </c>
      <c r="B41" s="7" t="str">
        <f t="shared" si="2"/>
        <v>2021010</v>
      </c>
      <c r="C41" s="7" t="str">
        <f t="shared" si="3"/>
        <v>002</v>
      </c>
      <c r="D41" s="7" t="str">
        <f>"09"</f>
        <v>09</v>
      </c>
      <c r="E41" s="8">
        <v>73</v>
      </c>
      <c r="F41" s="7" t="s">
        <v>7</v>
      </c>
    </row>
    <row r="42" s="2" customFormat="1" ht="14.1" customHeight="1" spans="1:6">
      <c r="A42" s="7" t="str">
        <f>"2101000210"</f>
        <v>2101000210</v>
      </c>
      <c r="B42" s="7" t="str">
        <f t="shared" si="2"/>
        <v>2021010</v>
      </c>
      <c r="C42" s="7" t="str">
        <f t="shared" si="3"/>
        <v>002</v>
      </c>
      <c r="D42" s="7" t="str">
        <f>"10"</f>
        <v>10</v>
      </c>
      <c r="E42" s="8">
        <v>60.8</v>
      </c>
      <c r="F42" s="7" t="s">
        <v>7</v>
      </c>
    </row>
    <row r="43" s="2" customFormat="1" ht="14.1" customHeight="1" spans="1:6">
      <c r="A43" s="7" t="str">
        <f>"2101000211"</f>
        <v>2101000211</v>
      </c>
      <c r="B43" s="7" t="str">
        <f t="shared" si="2"/>
        <v>2021010</v>
      </c>
      <c r="C43" s="7" t="str">
        <f t="shared" si="3"/>
        <v>002</v>
      </c>
      <c r="D43" s="7" t="str">
        <f>"11"</f>
        <v>11</v>
      </c>
      <c r="E43" s="8">
        <v>64.8</v>
      </c>
      <c r="F43" s="7" t="s">
        <v>7</v>
      </c>
    </row>
    <row r="44" s="2" customFormat="1" ht="14.1" customHeight="1" spans="1:6">
      <c r="A44" s="7" t="str">
        <f>"2101000212"</f>
        <v>2101000212</v>
      </c>
      <c r="B44" s="7" t="str">
        <f t="shared" si="2"/>
        <v>2021010</v>
      </c>
      <c r="C44" s="7" t="str">
        <f t="shared" si="3"/>
        <v>002</v>
      </c>
      <c r="D44" s="7" t="str">
        <f>"12"</f>
        <v>12</v>
      </c>
      <c r="E44" s="8">
        <v>0</v>
      </c>
      <c r="F44" s="7" t="s">
        <v>8</v>
      </c>
    </row>
    <row r="45" s="2" customFormat="1" ht="14.1" customHeight="1" spans="1:6">
      <c r="A45" s="7" t="str">
        <f>"2101000213"</f>
        <v>2101000213</v>
      </c>
      <c r="B45" s="7" t="str">
        <f t="shared" si="2"/>
        <v>2021010</v>
      </c>
      <c r="C45" s="7" t="str">
        <f t="shared" si="3"/>
        <v>002</v>
      </c>
      <c r="D45" s="7" t="str">
        <f>"13"</f>
        <v>13</v>
      </c>
      <c r="E45" s="8">
        <v>59.3</v>
      </c>
      <c r="F45" s="7" t="s">
        <v>7</v>
      </c>
    </row>
    <row r="46" s="2" customFormat="1" ht="14.1" customHeight="1" spans="1:6">
      <c r="A46" s="7" t="str">
        <f>"2101000214"</f>
        <v>2101000214</v>
      </c>
      <c r="B46" s="7" t="str">
        <f t="shared" si="2"/>
        <v>2021010</v>
      </c>
      <c r="C46" s="7" t="str">
        <f t="shared" si="3"/>
        <v>002</v>
      </c>
      <c r="D46" s="7" t="str">
        <f>"14"</f>
        <v>14</v>
      </c>
      <c r="E46" s="8">
        <v>0</v>
      </c>
      <c r="F46" s="7" t="s">
        <v>8</v>
      </c>
    </row>
    <row r="47" s="2" customFormat="1" ht="14.1" customHeight="1" spans="1:6">
      <c r="A47" s="7" t="str">
        <f>"2101000215"</f>
        <v>2101000215</v>
      </c>
      <c r="B47" s="7" t="str">
        <f t="shared" si="2"/>
        <v>2021010</v>
      </c>
      <c r="C47" s="7" t="str">
        <f t="shared" si="3"/>
        <v>002</v>
      </c>
      <c r="D47" s="7" t="str">
        <f>"15"</f>
        <v>15</v>
      </c>
      <c r="E47" s="8">
        <v>0</v>
      </c>
      <c r="F47" s="7" t="s">
        <v>8</v>
      </c>
    </row>
    <row r="48" s="2" customFormat="1" ht="14.1" customHeight="1" spans="1:6">
      <c r="A48" s="7" t="str">
        <f>"2101100216"</f>
        <v>2101100216</v>
      </c>
      <c r="B48" s="7" t="str">
        <f t="shared" ref="B48:B86" si="4">"2021011"</f>
        <v>2021011</v>
      </c>
      <c r="C48" s="7" t="str">
        <f t="shared" si="3"/>
        <v>002</v>
      </c>
      <c r="D48" s="7" t="str">
        <f>"16"</f>
        <v>16</v>
      </c>
      <c r="E48" s="8">
        <v>66.9</v>
      </c>
      <c r="F48" s="7" t="s">
        <v>7</v>
      </c>
    </row>
    <row r="49" s="2" customFormat="1" ht="14.1" customHeight="1" spans="1:6">
      <c r="A49" s="7" t="str">
        <f>"2101100217"</f>
        <v>2101100217</v>
      </c>
      <c r="B49" s="7" t="str">
        <f t="shared" si="4"/>
        <v>2021011</v>
      </c>
      <c r="C49" s="7" t="str">
        <f t="shared" si="3"/>
        <v>002</v>
      </c>
      <c r="D49" s="7" t="str">
        <f>"17"</f>
        <v>17</v>
      </c>
      <c r="E49" s="8">
        <v>71.1</v>
      </c>
      <c r="F49" s="7" t="s">
        <v>7</v>
      </c>
    </row>
    <row r="50" s="2" customFormat="1" ht="14.1" customHeight="1" spans="1:6">
      <c r="A50" s="7" t="str">
        <f>"2101100218"</f>
        <v>2101100218</v>
      </c>
      <c r="B50" s="7" t="str">
        <f t="shared" si="4"/>
        <v>2021011</v>
      </c>
      <c r="C50" s="7" t="str">
        <f t="shared" si="3"/>
        <v>002</v>
      </c>
      <c r="D50" s="7" t="str">
        <f>"18"</f>
        <v>18</v>
      </c>
      <c r="E50" s="8">
        <v>62.4</v>
      </c>
      <c r="F50" s="7" t="s">
        <v>7</v>
      </c>
    </row>
    <row r="51" s="2" customFormat="1" ht="14.1" customHeight="1" spans="1:6">
      <c r="A51" s="7" t="str">
        <f>"2101100219"</f>
        <v>2101100219</v>
      </c>
      <c r="B51" s="7" t="str">
        <f t="shared" si="4"/>
        <v>2021011</v>
      </c>
      <c r="C51" s="7" t="str">
        <f t="shared" si="3"/>
        <v>002</v>
      </c>
      <c r="D51" s="7" t="str">
        <f>"19"</f>
        <v>19</v>
      </c>
      <c r="E51" s="8">
        <v>64.4</v>
      </c>
      <c r="F51" s="7" t="s">
        <v>7</v>
      </c>
    </row>
    <row r="52" s="2" customFormat="1" ht="14.1" customHeight="1" spans="1:6">
      <c r="A52" s="7" t="str">
        <f>"2101100220"</f>
        <v>2101100220</v>
      </c>
      <c r="B52" s="7" t="str">
        <f t="shared" si="4"/>
        <v>2021011</v>
      </c>
      <c r="C52" s="7" t="str">
        <f t="shared" si="3"/>
        <v>002</v>
      </c>
      <c r="D52" s="7" t="str">
        <f>"20"</f>
        <v>20</v>
      </c>
      <c r="E52" s="8">
        <v>0</v>
      </c>
      <c r="F52" s="7" t="s">
        <v>8</v>
      </c>
    </row>
    <row r="53" s="2" customFormat="1" ht="14.1" customHeight="1" spans="1:6">
      <c r="A53" s="7" t="str">
        <f>"2101100221"</f>
        <v>2101100221</v>
      </c>
      <c r="B53" s="7" t="str">
        <f t="shared" si="4"/>
        <v>2021011</v>
      </c>
      <c r="C53" s="7" t="str">
        <f t="shared" si="3"/>
        <v>002</v>
      </c>
      <c r="D53" s="7" t="str">
        <f>"21"</f>
        <v>21</v>
      </c>
      <c r="E53" s="8">
        <v>0</v>
      </c>
      <c r="F53" s="7" t="s">
        <v>8</v>
      </c>
    </row>
    <row r="54" s="2" customFormat="1" ht="14.1" customHeight="1" spans="1:6">
      <c r="A54" s="7" t="str">
        <f>"2101100222"</f>
        <v>2101100222</v>
      </c>
      <c r="B54" s="7" t="str">
        <f t="shared" si="4"/>
        <v>2021011</v>
      </c>
      <c r="C54" s="7" t="str">
        <f t="shared" si="3"/>
        <v>002</v>
      </c>
      <c r="D54" s="7" t="str">
        <f>"22"</f>
        <v>22</v>
      </c>
      <c r="E54" s="8">
        <v>54.9</v>
      </c>
      <c r="F54" s="7" t="s">
        <v>7</v>
      </c>
    </row>
    <row r="55" s="2" customFormat="1" ht="14.1" customHeight="1" spans="1:6">
      <c r="A55" s="7" t="str">
        <f>"2101100223"</f>
        <v>2101100223</v>
      </c>
      <c r="B55" s="7" t="str">
        <f t="shared" si="4"/>
        <v>2021011</v>
      </c>
      <c r="C55" s="7" t="str">
        <f t="shared" si="3"/>
        <v>002</v>
      </c>
      <c r="D55" s="7" t="str">
        <f>"23"</f>
        <v>23</v>
      </c>
      <c r="E55" s="8">
        <v>0</v>
      </c>
      <c r="F55" s="7" t="s">
        <v>8</v>
      </c>
    </row>
    <row r="56" s="2" customFormat="1" ht="14.1" customHeight="1" spans="1:6">
      <c r="A56" s="7" t="str">
        <f>"2101100224"</f>
        <v>2101100224</v>
      </c>
      <c r="B56" s="7" t="str">
        <f t="shared" si="4"/>
        <v>2021011</v>
      </c>
      <c r="C56" s="7" t="str">
        <f t="shared" si="3"/>
        <v>002</v>
      </c>
      <c r="D56" s="7" t="str">
        <f>"24"</f>
        <v>24</v>
      </c>
      <c r="E56" s="8">
        <v>67.4</v>
      </c>
      <c r="F56" s="7" t="s">
        <v>7</v>
      </c>
    </row>
    <row r="57" s="2" customFormat="1" ht="14.1" customHeight="1" spans="1:6">
      <c r="A57" s="7" t="str">
        <f>"2101100225"</f>
        <v>2101100225</v>
      </c>
      <c r="B57" s="7" t="str">
        <f t="shared" si="4"/>
        <v>2021011</v>
      </c>
      <c r="C57" s="7" t="str">
        <f t="shared" si="3"/>
        <v>002</v>
      </c>
      <c r="D57" s="7" t="str">
        <f>"25"</f>
        <v>25</v>
      </c>
      <c r="E57" s="8">
        <v>0</v>
      </c>
      <c r="F57" s="7" t="s">
        <v>8</v>
      </c>
    </row>
    <row r="58" s="2" customFormat="1" ht="14.1" customHeight="1" spans="1:6">
      <c r="A58" s="7" t="str">
        <f>"2101100226"</f>
        <v>2101100226</v>
      </c>
      <c r="B58" s="7" t="str">
        <f t="shared" si="4"/>
        <v>2021011</v>
      </c>
      <c r="C58" s="7" t="str">
        <f t="shared" si="3"/>
        <v>002</v>
      </c>
      <c r="D58" s="7" t="str">
        <f>"26"</f>
        <v>26</v>
      </c>
      <c r="E58" s="8">
        <v>0</v>
      </c>
      <c r="F58" s="7" t="s">
        <v>8</v>
      </c>
    </row>
    <row r="59" s="2" customFormat="1" ht="14.1" customHeight="1" spans="1:6">
      <c r="A59" s="7" t="str">
        <f>"2101100227"</f>
        <v>2101100227</v>
      </c>
      <c r="B59" s="7" t="str">
        <f t="shared" si="4"/>
        <v>2021011</v>
      </c>
      <c r="C59" s="7" t="str">
        <f t="shared" si="3"/>
        <v>002</v>
      </c>
      <c r="D59" s="7" t="str">
        <f>"27"</f>
        <v>27</v>
      </c>
      <c r="E59" s="8">
        <v>57.2</v>
      </c>
      <c r="F59" s="7" t="s">
        <v>7</v>
      </c>
    </row>
    <row r="60" s="2" customFormat="1" ht="14.1" customHeight="1" spans="1:6">
      <c r="A60" s="7" t="str">
        <f>"2101100228"</f>
        <v>2101100228</v>
      </c>
      <c r="B60" s="7" t="str">
        <f t="shared" si="4"/>
        <v>2021011</v>
      </c>
      <c r="C60" s="7" t="str">
        <f t="shared" si="3"/>
        <v>002</v>
      </c>
      <c r="D60" s="7" t="str">
        <f>"28"</f>
        <v>28</v>
      </c>
      <c r="E60" s="8">
        <v>68.4</v>
      </c>
      <c r="F60" s="7" t="s">
        <v>7</v>
      </c>
    </row>
    <row r="61" s="2" customFormat="1" ht="14.1" customHeight="1" spans="1:6">
      <c r="A61" s="7" t="str">
        <f>"2101100229"</f>
        <v>2101100229</v>
      </c>
      <c r="B61" s="7" t="str">
        <f t="shared" si="4"/>
        <v>2021011</v>
      </c>
      <c r="C61" s="7" t="str">
        <f t="shared" si="3"/>
        <v>002</v>
      </c>
      <c r="D61" s="7" t="str">
        <f>"29"</f>
        <v>29</v>
      </c>
      <c r="E61" s="8">
        <v>65.2</v>
      </c>
      <c r="F61" s="7" t="s">
        <v>7</v>
      </c>
    </row>
    <row r="62" s="2" customFormat="1" ht="14.1" customHeight="1" spans="1:6">
      <c r="A62" s="7" t="str">
        <f>"2101100230"</f>
        <v>2101100230</v>
      </c>
      <c r="B62" s="7" t="str">
        <f t="shared" si="4"/>
        <v>2021011</v>
      </c>
      <c r="C62" s="7" t="str">
        <f t="shared" si="3"/>
        <v>002</v>
      </c>
      <c r="D62" s="7" t="str">
        <f>"30"</f>
        <v>30</v>
      </c>
      <c r="E62" s="8">
        <v>63.5</v>
      </c>
      <c r="F62" s="7" t="s">
        <v>7</v>
      </c>
    </row>
    <row r="63" s="2" customFormat="1" ht="14.1" customHeight="1" spans="1:6">
      <c r="A63" s="7" t="str">
        <f>"2101100301"</f>
        <v>2101100301</v>
      </c>
      <c r="B63" s="7" t="str">
        <f t="shared" si="4"/>
        <v>2021011</v>
      </c>
      <c r="C63" s="7" t="str">
        <f t="shared" ref="C63:C92" si="5">"003"</f>
        <v>003</v>
      </c>
      <c r="D63" s="7" t="str">
        <f>"01"</f>
        <v>01</v>
      </c>
      <c r="E63" s="8">
        <v>61.9</v>
      </c>
      <c r="F63" s="7" t="s">
        <v>7</v>
      </c>
    </row>
    <row r="64" s="2" customFormat="1" ht="14.1" customHeight="1" spans="1:6">
      <c r="A64" s="7" t="str">
        <f>"2101100302"</f>
        <v>2101100302</v>
      </c>
      <c r="B64" s="7" t="str">
        <f t="shared" si="4"/>
        <v>2021011</v>
      </c>
      <c r="C64" s="7" t="str">
        <f t="shared" si="5"/>
        <v>003</v>
      </c>
      <c r="D64" s="7" t="str">
        <f>"02"</f>
        <v>02</v>
      </c>
      <c r="E64" s="8">
        <v>66.2</v>
      </c>
      <c r="F64" s="7" t="s">
        <v>7</v>
      </c>
    </row>
    <row r="65" s="2" customFormat="1" ht="14.1" customHeight="1" spans="1:6">
      <c r="A65" s="7" t="str">
        <f>"2101100303"</f>
        <v>2101100303</v>
      </c>
      <c r="B65" s="7" t="str">
        <f t="shared" si="4"/>
        <v>2021011</v>
      </c>
      <c r="C65" s="7" t="str">
        <f t="shared" si="5"/>
        <v>003</v>
      </c>
      <c r="D65" s="7" t="str">
        <f>"03"</f>
        <v>03</v>
      </c>
      <c r="E65" s="8">
        <v>64</v>
      </c>
      <c r="F65" s="7" t="s">
        <v>7</v>
      </c>
    </row>
    <row r="66" s="2" customFormat="1" ht="14.1" customHeight="1" spans="1:6">
      <c r="A66" s="7" t="str">
        <f>"2101100304"</f>
        <v>2101100304</v>
      </c>
      <c r="B66" s="7" t="str">
        <f t="shared" si="4"/>
        <v>2021011</v>
      </c>
      <c r="C66" s="7" t="str">
        <f t="shared" si="5"/>
        <v>003</v>
      </c>
      <c r="D66" s="7" t="str">
        <f>"04"</f>
        <v>04</v>
      </c>
      <c r="E66" s="8">
        <v>0</v>
      </c>
      <c r="F66" s="7" t="s">
        <v>8</v>
      </c>
    </row>
    <row r="67" s="2" customFormat="1" ht="14.1" customHeight="1" spans="1:6">
      <c r="A67" s="7" t="str">
        <f>"2101100305"</f>
        <v>2101100305</v>
      </c>
      <c r="B67" s="7" t="str">
        <f t="shared" si="4"/>
        <v>2021011</v>
      </c>
      <c r="C67" s="7" t="str">
        <f t="shared" si="5"/>
        <v>003</v>
      </c>
      <c r="D67" s="7" t="str">
        <f>"05"</f>
        <v>05</v>
      </c>
      <c r="E67" s="8">
        <v>0</v>
      </c>
      <c r="F67" s="7" t="s">
        <v>8</v>
      </c>
    </row>
    <row r="68" s="2" customFormat="1" ht="14.1" customHeight="1" spans="1:6">
      <c r="A68" s="7" t="str">
        <f>"2101100306"</f>
        <v>2101100306</v>
      </c>
      <c r="B68" s="7" t="str">
        <f t="shared" si="4"/>
        <v>2021011</v>
      </c>
      <c r="C68" s="7" t="str">
        <f t="shared" si="5"/>
        <v>003</v>
      </c>
      <c r="D68" s="7" t="str">
        <f>"06"</f>
        <v>06</v>
      </c>
      <c r="E68" s="8">
        <v>75.4</v>
      </c>
      <c r="F68" s="7" t="s">
        <v>7</v>
      </c>
    </row>
    <row r="69" s="2" customFormat="1" ht="14.1" customHeight="1" spans="1:6">
      <c r="A69" s="7" t="str">
        <f>"2101100307"</f>
        <v>2101100307</v>
      </c>
      <c r="B69" s="7" t="str">
        <f t="shared" si="4"/>
        <v>2021011</v>
      </c>
      <c r="C69" s="7" t="str">
        <f t="shared" si="5"/>
        <v>003</v>
      </c>
      <c r="D69" s="7" t="str">
        <f>"07"</f>
        <v>07</v>
      </c>
      <c r="E69" s="8">
        <v>66.9</v>
      </c>
      <c r="F69" s="7" t="s">
        <v>7</v>
      </c>
    </row>
    <row r="70" s="2" customFormat="1" ht="14.1" customHeight="1" spans="1:6">
      <c r="A70" s="7" t="str">
        <f>"2101100308"</f>
        <v>2101100308</v>
      </c>
      <c r="B70" s="7" t="str">
        <f t="shared" si="4"/>
        <v>2021011</v>
      </c>
      <c r="C70" s="7" t="str">
        <f t="shared" si="5"/>
        <v>003</v>
      </c>
      <c r="D70" s="7" t="str">
        <f>"08"</f>
        <v>08</v>
      </c>
      <c r="E70" s="8">
        <v>70.3</v>
      </c>
      <c r="F70" s="7" t="s">
        <v>7</v>
      </c>
    </row>
    <row r="71" s="2" customFormat="1" ht="14.1" customHeight="1" spans="1:6">
      <c r="A71" s="7" t="str">
        <f>"2101100309"</f>
        <v>2101100309</v>
      </c>
      <c r="B71" s="7" t="str">
        <f t="shared" si="4"/>
        <v>2021011</v>
      </c>
      <c r="C71" s="7" t="str">
        <f t="shared" si="5"/>
        <v>003</v>
      </c>
      <c r="D71" s="7" t="str">
        <f>"09"</f>
        <v>09</v>
      </c>
      <c r="E71" s="8">
        <v>0</v>
      </c>
      <c r="F71" s="7" t="s">
        <v>8</v>
      </c>
    </row>
    <row r="72" s="2" customFormat="1" ht="14.1" customHeight="1" spans="1:6">
      <c r="A72" s="7" t="str">
        <f>"2101100310"</f>
        <v>2101100310</v>
      </c>
      <c r="B72" s="7" t="str">
        <f t="shared" si="4"/>
        <v>2021011</v>
      </c>
      <c r="C72" s="7" t="str">
        <f t="shared" si="5"/>
        <v>003</v>
      </c>
      <c r="D72" s="7" t="str">
        <f>"10"</f>
        <v>10</v>
      </c>
      <c r="E72" s="8">
        <v>0</v>
      </c>
      <c r="F72" s="7" t="s">
        <v>8</v>
      </c>
    </row>
    <row r="73" s="2" customFormat="1" ht="14.1" customHeight="1" spans="1:6">
      <c r="A73" s="7" t="str">
        <f>"2101100311"</f>
        <v>2101100311</v>
      </c>
      <c r="B73" s="7" t="str">
        <f t="shared" si="4"/>
        <v>2021011</v>
      </c>
      <c r="C73" s="7" t="str">
        <f t="shared" si="5"/>
        <v>003</v>
      </c>
      <c r="D73" s="7" t="str">
        <f>"11"</f>
        <v>11</v>
      </c>
      <c r="E73" s="8">
        <v>69</v>
      </c>
      <c r="F73" s="7" t="s">
        <v>7</v>
      </c>
    </row>
    <row r="74" s="2" customFormat="1" ht="14.1" customHeight="1" spans="1:6">
      <c r="A74" s="7" t="str">
        <f>"2101100312"</f>
        <v>2101100312</v>
      </c>
      <c r="B74" s="7" t="str">
        <f t="shared" si="4"/>
        <v>2021011</v>
      </c>
      <c r="C74" s="7" t="str">
        <f t="shared" si="5"/>
        <v>003</v>
      </c>
      <c r="D74" s="7" t="str">
        <f>"12"</f>
        <v>12</v>
      </c>
      <c r="E74" s="8">
        <v>0</v>
      </c>
      <c r="F74" s="7" t="s">
        <v>8</v>
      </c>
    </row>
    <row r="75" s="2" customFormat="1" ht="14.1" customHeight="1" spans="1:6">
      <c r="A75" s="7" t="str">
        <f>"2101100313"</f>
        <v>2101100313</v>
      </c>
      <c r="B75" s="7" t="str">
        <f t="shared" si="4"/>
        <v>2021011</v>
      </c>
      <c r="C75" s="7" t="str">
        <f t="shared" si="5"/>
        <v>003</v>
      </c>
      <c r="D75" s="7" t="str">
        <f>"13"</f>
        <v>13</v>
      </c>
      <c r="E75" s="8">
        <v>70.6</v>
      </c>
      <c r="F75" s="7" t="s">
        <v>7</v>
      </c>
    </row>
    <row r="76" s="2" customFormat="1" ht="14.1" customHeight="1" spans="1:6">
      <c r="A76" s="7" t="str">
        <f>"2101100314"</f>
        <v>2101100314</v>
      </c>
      <c r="B76" s="7" t="str">
        <f t="shared" si="4"/>
        <v>2021011</v>
      </c>
      <c r="C76" s="7" t="str">
        <f t="shared" si="5"/>
        <v>003</v>
      </c>
      <c r="D76" s="7" t="str">
        <f>"14"</f>
        <v>14</v>
      </c>
      <c r="E76" s="8">
        <v>0</v>
      </c>
      <c r="F76" s="7" t="s">
        <v>8</v>
      </c>
    </row>
    <row r="77" s="2" customFormat="1" ht="14.1" customHeight="1" spans="1:6">
      <c r="A77" s="7" t="str">
        <f>"2101100315"</f>
        <v>2101100315</v>
      </c>
      <c r="B77" s="7" t="str">
        <f t="shared" si="4"/>
        <v>2021011</v>
      </c>
      <c r="C77" s="7" t="str">
        <f t="shared" si="5"/>
        <v>003</v>
      </c>
      <c r="D77" s="7" t="str">
        <f>"15"</f>
        <v>15</v>
      </c>
      <c r="E77" s="8">
        <v>71.3</v>
      </c>
      <c r="F77" s="7" t="s">
        <v>7</v>
      </c>
    </row>
    <row r="78" s="2" customFormat="1" ht="14.1" customHeight="1" spans="1:6">
      <c r="A78" s="7" t="str">
        <f>"2101100316"</f>
        <v>2101100316</v>
      </c>
      <c r="B78" s="7" t="str">
        <f t="shared" si="4"/>
        <v>2021011</v>
      </c>
      <c r="C78" s="7" t="str">
        <f t="shared" si="5"/>
        <v>003</v>
      </c>
      <c r="D78" s="7" t="str">
        <f>"16"</f>
        <v>16</v>
      </c>
      <c r="E78" s="8">
        <v>74.9</v>
      </c>
      <c r="F78" s="7" t="s">
        <v>7</v>
      </c>
    </row>
    <row r="79" s="2" customFormat="1" ht="14.1" customHeight="1" spans="1:6">
      <c r="A79" s="7" t="str">
        <f>"2101100317"</f>
        <v>2101100317</v>
      </c>
      <c r="B79" s="7" t="str">
        <f t="shared" si="4"/>
        <v>2021011</v>
      </c>
      <c r="C79" s="7" t="str">
        <f t="shared" si="5"/>
        <v>003</v>
      </c>
      <c r="D79" s="7" t="str">
        <f>"17"</f>
        <v>17</v>
      </c>
      <c r="E79" s="8">
        <v>71.3</v>
      </c>
      <c r="F79" s="7" t="s">
        <v>7</v>
      </c>
    </row>
    <row r="80" s="2" customFormat="1" ht="14.1" customHeight="1" spans="1:6">
      <c r="A80" s="7" t="str">
        <f>"2101100318"</f>
        <v>2101100318</v>
      </c>
      <c r="B80" s="7" t="str">
        <f t="shared" si="4"/>
        <v>2021011</v>
      </c>
      <c r="C80" s="7" t="str">
        <f t="shared" si="5"/>
        <v>003</v>
      </c>
      <c r="D80" s="7" t="str">
        <f>"18"</f>
        <v>18</v>
      </c>
      <c r="E80" s="8">
        <v>66.6</v>
      </c>
      <c r="F80" s="7" t="s">
        <v>7</v>
      </c>
    </row>
    <row r="81" s="2" customFormat="1" ht="14.1" customHeight="1" spans="1:6">
      <c r="A81" s="7" t="str">
        <f>"2101100319"</f>
        <v>2101100319</v>
      </c>
      <c r="B81" s="7" t="str">
        <f t="shared" si="4"/>
        <v>2021011</v>
      </c>
      <c r="C81" s="7" t="str">
        <f t="shared" si="5"/>
        <v>003</v>
      </c>
      <c r="D81" s="7" t="str">
        <f>"19"</f>
        <v>19</v>
      </c>
      <c r="E81" s="8">
        <v>0</v>
      </c>
      <c r="F81" s="7" t="s">
        <v>8</v>
      </c>
    </row>
    <row r="82" s="2" customFormat="1" ht="14.1" customHeight="1" spans="1:6">
      <c r="A82" s="7" t="str">
        <f>"2101100320"</f>
        <v>2101100320</v>
      </c>
      <c r="B82" s="7" t="str">
        <f t="shared" si="4"/>
        <v>2021011</v>
      </c>
      <c r="C82" s="7" t="str">
        <f t="shared" si="5"/>
        <v>003</v>
      </c>
      <c r="D82" s="7" t="str">
        <f>"20"</f>
        <v>20</v>
      </c>
      <c r="E82" s="8">
        <v>0</v>
      </c>
      <c r="F82" s="7" t="s">
        <v>8</v>
      </c>
    </row>
    <row r="83" s="2" customFormat="1" ht="14.1" customHeight="1" spans="1:6">
      <c r="A83" s="7" t="str">
        <f>"2101100321"</f>
        <v>2101100321</v>
      </c>
      <c r="B83" s="7" t="str">
        <f t="shared" si="4"/>
        <v>2021011</v>
      </c>
      <c r="C83" s="7" t="str">
        <f t="shared" si="5"/>
        <v>003</v>
      </c>
      <c r="D83" s="7" t="str">
        <f>"21"</f>
        <v>21</v>
      </c>
      <c r="E83" s="8">
        <v>0</v>
      </c>
      <c r="F83" s="7" t="s">
        <v>8</v>
      </c>
    </row>
    <row r="84" s="2" customFormat="1" ht="14.1" customHeight="1" spans="1:6">
      <c r="A84" s="7" t="str">
        <f>"2101100322"</f>
        <v>2101100322</v>
      </c>
      <c r="B84" s="7" t="str">
        <f t="shared" si="4"/>
        <v>2021011</v>
      </c>
      <c r="C84" s="7" t="str">
        <f t="shared" si="5"/>
        <v>003</v>
      </c>
      <c r="D84" s="7" t="str">
        <f>"22"</f>
        <v>22</v>
      </c>
      <c r="E84" s="8">
        <v>0</v>
      </c>
      <c r="F84" s="7" t="s">
        <v>8</v>
      </c>
    </row>
    <row r="85" s="2" customFormat="1" ht="14.1" customHeight="1" spans="1:6">
      <c r="A85" s="7" t="str">
        <f>"2101100323"</f>
        <v>2101100323</v>
      </c>
      <c r="B85" s="7" t="str">
        <f t="shared" si="4"/>
        <v>2021011</v>
      </c>
      <c r="C85" s="7" t="str">
        <f t="shared" si="5"/>
        <v>003</v>
      </c>
      <c r="D85" s="7" t="str">
        <f>"23"</f>
        <v>23</v>
      </c>
      <c r="E85" s="8">
        <v>0</v>
      </c>
      <c r="F85" s="7" t="s">
        <v>8</v>
      </c>
    </row>
    <row r="86" s="2" customFormat="1" ht="14.1" customHeight="1" spans="1:6">
      <c r="A86" s="7" t="str">
        <f>"2101100324"</f>
        <v>2101100324</v>
      </c>
      <c r="B86" s="7" t="str">
        <f t="shared" si="4"/>
        <v>2021011</v>
      </c>
      <c r="C86" s="7" t="str">
        <f t="shared" si="5"/>
        <v>003</v>
      </c>
      <c r="D86" s="7" t="str">
        <f>"24"</f>
        <v>24</v>
      </c>
      <c r="E86" s="8">
        <v>68</v>
      </c>
      <c r="F86" s="7" t="s">
        <v>7</v>
      </c>
    </row>
    <row r="87" s="2" customFormat="1" ht="14.1" customHeight="1" spans="1:6">
      <c r="A87" s="7" t="str">
        <f>"2101200325"</f>
        <v>2101200325</v>
      </c>
      <c r="B87" s="7" t="str">
        <f t="shared" ref="B87:B139" si="6">"2021012"</f>
        <v>2021012</v>
      </c>
      <c r="C87" s="7" t="str">
        <f t="shared" si="5"/>
        <v>003</v>
      </c>
      <c r="D87" s="7" t="str">
        <f>"25"</f>
        <v>25</v>
      </c>
      <c r="E87" s="8">
        <v>0</v>
      </c>
      <c r="F87" s="7" t="s">
        <v>8</v>
      </c>
    </row>
    <row r="88" s="2" customFormat="1" ht="14.1" customHeight="1" spans="1:6">
      <c r="A88" s="7" t="str">
        <f>"2101200326"</f>
        <v>2101200326</v>
      </c>
      <c r="B88" s="7" t="str">
        <f t="shared" si="6"/>
        <v>2021012</v>
      </c>
      <c r="C88" s="7" t="str">
        <f t="shared" si="5"/>
        <v>003</v>
      </c>
      <c r="D88" s="7" t="str">
        <f>"26"</f>
        <v>26</v>
      </c>
      <c r="E88" s="8">
        <v>68.9</v>
      </c>
      <c r="F88" s="7" t="s">
        <v>7</v>
      </c>
    </row>
    <row r="89" s="2" customFormat="1" ht="14.1" customHeight="1" spans="1:6">
      <c r="A89" s="7" t="str">
        <f>"2101200327"</f>
        <v>2101200327</v>
      </c>
      <c r="B89" s="7" t="str">
        <f t="shared" si="6"/>
        <v>2021012</v>
      </c>
      <c r="C89" s="7" t="str">
        <f t="shared" si="5"/>
        <v>003</v>
      </c>
      <c r="D89" s="7" t="str">
        <f>"27"</f>
        <v>27</v>
      </c>
      <c r="E89" s="8">
        <v>0</v>
      </c>
      <c r="F89" s="7" t="s">
        <v>8</v>
      </c>
    </row>
    <row r="90" s="2" customFormat="1" ht="14.1" customHeight="1" spans="1:6">
      <c r="A90" s="7" t="str">
        <f>"2101200328"</f>
        <v>2101200328</v>
      </c>
      <c r="B90" s="7" t="str">
        <f t="shared" si="6"/>
        <v>2021012</v>
      </c>
      <c r="C90" s="7" t="str">
        <f t="shared" si="5"/>
        <v>003</v>
      </c>
      <c r="D90" s="7" t="str">
        <f>"28"</f>
        <v>28</v>
      </c>
      <c r="E90" s="8">
        <v>0</v>
      </c>
      <c r="F90" s="7" t="s">
        <v>8</v>
      </c>
    </row>
    <row r="91" s="2" customFormat="1" ht="14.1" customHeight="1" spans="1:6">
      <c r="A91" s="7" t="str">
        <f>"2101200329"</f>
        <v>2101200329</v>
      </c>
      <c r="B91" s="7" t="str">
        <f t="shared" si="6"/>
        <v>2021012</v>
      </c>
      <c r="C91" s="7" t="str">
        <f t="shared" si="5"/>
        <v>003</v>
      </c>
      <c r="D91" s="7" t="str">
        <f>"29"</f>
        <v>29</v>
      </c>
      <c r="E91" s="8">
        <v>66.2</v>
      </c>
      <c r="F91" s="7" t="s">
        <v>7</v>
      </c>
    </row>
    <row r="92" s="2" customFormat="1" ht="14.1" customHeight="1" spans="1:6">
      <c r="A92" s="7" t="str">
        <f>"2101200330"</f>
        <v>2101200330</v>
      </c>
      <c r="B92" s="7" t="str">
        <f t="shared" si="6"/>
        <v>2021012</v>
      </c>
      <c r="C92" s="7" t="str">
        <f t="shared" si="5"/>
        <v>003</v>
      </c>
      <c r="D92" s="7" t="str">
        <f>"30"</f>
        <v>30</v>
      </c>
      <c r="E92" s="8">
        <v>66.5</v>
      </c>
      <c r="F92" s="7" t="s">
        <v>7</v>
      </c>
    </row>
    <row r="93" s="2" customFormat="1" ht="14.1" customHeight="1" spans="1:6">
      <c r="A93" s="7" t="str">
        <f>"2101200401"</f>
        <v>2101200401</v>
      </c>
      <c r="B93" s="7" t="str">
        <f t="shared" si="6"/>
        <v>2021012</v>
      </c>
      <c r="C93" s="7" t="str">
        <f t="shared" ref="C93:C122" si="7">"004"</f>
        <v>004</v>
      </c>
      <c r="D93" s="7" t="str">
        <f>"01"</f>
        <v>01</v>
      </c>
      <c r="E93" s="8">
        <v>0</v>
      </c>
      <c r="F93" s="7" t="s">
        <v>8</v>
      </c>
    </row>
    <row r="94" s="2" customFormat="1" ht="14.1" customHeight="1" spans="1:6">
      <c r="A94" s="7" t="str">
        <f>"2101200402"</f>
        <v>2101200402</v>
      </c>
      <c r="B94" s="7" t="str">
        <f t="shared" si="6"/>
        <v>2021012</v>
      </c>
      <c r="C94" s="7" t="str">
        <f t="shared" si="7"/>
        <v>004</v>
      </c>
      <c r="D94" s="7" t="str">
        <f>"02"</f>
        <v>02</v>
      </c>
      <c r="E94" s="8">
        <v>0</v>
      </c>
      <c r="F94" s="7" t="s">
        <v>8</v>
      </c>
    </row>
    <row r="95" s="2" customFormat="1" ht="14.1" customHeight="1" spans="1:6">
      <c r="A95" s="7" t="str">
        <f>"2101200403"</f>
        <v>2101200403</v>
      </c>
      <c r="B95" s="7" t="str">
        <f t="shared" si="6"/>
        <v>2021012</v>
      </c>
      <c r="C95" s="7" t="str">
        <f t="shared" si="7"/>
        <v>004</v>
      </c>
      <c r="D95" s="7" t="str">
        <f>"03"</f>
        <v>03</v>
      </c>
      <c r="E95" s="8">
        <v>59.3</v>
      </c>
      <c r="F95" s="7" t="s">
        <v>7</v>
      </c>
    </row>
    <row r="96" s="2" customFormat="1" ht="14.1" customHeight="1" spans="1:6">
      <c r="A96" s="7" t="str">
        <f>"2101200404"</f>
        <v>2101200404</v>
      </c>
      <c r="B96" s="7" t="str">
        <f t="shared" si="6"/>
        <v>2021012</v>
      </c>
      <c r="C96" s="7" t="str">
        <f t="shared" si="7"/>
        <v>004</v>
      </c>
      <c r="D96" s="7" t="str">
        <f>"04"</f>
        <v>04</v>
      </c>
      <c r="E96" s="8">
        <v>0</v>
      </c>
      <c r="F96" s="7" t="s">
        <v>8</v>
      </c>
    </row>
    <row r="97" s="2" customFormat="1" ht="14.1" customHeight="1" spans="1:6">
      <c r="A97" s="7" t="str">
        <f>"2101200405"</f>
        <v>2101200405</v>
      </c>
      <c r="B97" s="7" t="str">
        <f t="shared" si="6"/>
        <v>2021012</v>
      </c>
      <c r="C97" s="7" t="str">
        <f t="shared" si="7"/>
        <v>004</v>
      </c>
      <c r="D97" s="7" t="str">
        <f>"05"</f>
        <v>05</v>
      </c>
      <c r="E97" s="8">
        <v>0</v>
      </c>
      <c r="F97" s="7" t="s">
        <v>8</v>
      </c>
    </row>
    <row r="98" s="2" customFormat="1" ht="14.1" customHeight="1" spans="1:6">
      <c r="A98" s="7" t="str">
        <f>"2101200406"</f>
        <v>2101200406</v>
      </c>
      <c r="B98" s="7" t="str">
        <f t="shared" si="6"/>
        <v>2021012</v>
      </c>
      <c r="C98" s="7" t="str">
        <f t="shared" si="7"/>
        <v>004</v>
      </c>
      <c r="D98" s="7" t="str">
        <f>"06"</f>
        <v>06</v>
      </c>
      <c r="E98" s="8">
        <v>0</v>
      </c>
      <c r="F98" s="7" t="s">
        <v>8</v>
      </c>
    </row>
    <row r="99" s="2" customFormat="1" ht="14.1" customHeight="1" spans="1:6">
      <c r="A99" s="7" t="str">
        <f>"2101200407"</f>
        <v>2101200407</v>
      </c>
      <c r="B99" s="7" t="str">
        <f t="shared" si="6"/>
        <v>2021012</v>
      </c>
      <c r="C99" s="7" t="str">
        <f t="shared" si="7"/>
        <v>004</v>
      </c>
      <c r="D99" s="7" t="str">
        <f>"07"</f>
        <v>07</v>
      </c>
      <c r="E99" s="8">
        <v>58.5</v>
      </c>
      <c r="F99" s="7" t="s">
        <v>7</v>
      </c>
    </row>
    <row r="100" s="2" customFormat="1" ht="14.1" customHeight="1" spans="1:6">
      <c r="A100" s="7" t="str">
        <f>"2101200408"</f>
        <v>2101200408</v>
      </c>
      <c r="B100" s="7" t="str">
        <f t="shared" si="6"/>
        <v>2021012</v>
      </c>
      <c r="C100" s="7" t="str">
        <f t="shared" si="7"/>
        <v>004</v>
      </c>
      <c r="D100" s="7" t="str">
        <f>"08"</f>
        <v>08</v>
      </c>
      <c r="E100" s="8">
        <v>61.8</v>
      </c>
      <c r="F100" s="7" t="s">
        <v>7</v>
      </c>
    </row>
    <row r="101" s="2" customFormat="1" ht="14.1" customHeight="1" spans="1:6">
      <c r="A101" s="7" t="str">
        <f>"2101200409"</f>
        <v>2101200409</v>
      </c>
      <c r="B101" s="7" t="str">
        <f t="shared" si="6"/>
        <v>2021012</v>
      </c>
      <c r="C101" s="7" t="str">
        <f t="shared" si="7"/>
        <v>004</v>
      </c>
      <c r="D101" s="7" t="str">
        <f>"09"</f>
        <v>09</v>
      </c>
      <c r="E101" s="8">
        <v>63.1</v>
      </c>
      <c r="F101" s="7" t="s">
        <v>7</v>
      </c>
    </row>
    <row r="102" s="2" customFormat="1" ht="14.1" customHeight="1" spans="1:6">
      <c r="A102" s="7" t="str">
        <f>"2101200410"</f>
        <v>2101200410</v>
      </c>
      <c r="B102" s="7" t="str">
        <f t="shared" si="6"/>
        <v>2021012</v>
      </c>
      <c r="C102" s="7" t="str">
        <f t="shared" si="7"/>
        <v>004</v>
      </c>
      <c r="D102" s="7" t="str">
        <f>"10"</f>
        <v>10</v>
      </c>
      <c r="E102" s="8">
        <v>0</v>
      </c>
      <c r="F102" s="7" t="s">
        <v>8</v>
      </c>
    </row>
    <row r="103" s="2" customFormat="1" ht="14.1" customHeight="1" spans="1:6">
      <c r="A103" s="7" t="str">
        <f>"2101200411"</f>
        <v>2101200411</v>
      </c>
      <c r="B103" s="7" t="str">
        <f t="shared" si="6"/>
        <v>2021012</v>
      </c>
      <c r="C103" s="7" t="str">
        <f t="shared" si="7"/>
        <v>004</v>
      </c>
      <c r="D103" s="7" t="str">
        <f>"11"</f>
        <v>11</v>
      </c>
      <c r="E103" s="8">
        <v>69.9</v>
      </c>
      <c r="F103" s="7" t="s">
        <v>7</v>
      </c>
    </row>
    <row r="104" s="2" customFormat="1" ht="14.1" customHeight="1" spans="1:6">
      <c r="A104" s="7" t="str">
        <f>"2101200412"</f>
        <v>2101200412</v>
      </c>
      <c r="B104" s="7" t="str">
        <f t="shared" si="6"/>
        <v>2021012</v>
      </c>
      <c r="C104" s="7" t="str">
        <f t="shared" si="7"/>
        <v>004</v>
      </c>
      <c r="D104" s="7" t="str">
        <f>"12"</f>
        <v>12</v>
      </c>
      <c r="E104" s="8">
        <v>68.3</v>
      </c>
      <c r="F104" s="7" t="s">
        <v>7</v>
      </c>
    </row>
    <row r="105" s="2" customFormat="1" ht="14.1" customHeight="1" spans="1:6">
      <c r="A105" s="7" t="str">
        <f>"2101200413"</f>
        <v>2101200413</v>
      </c>
      <c r="B105" s="7" t="str">
        <f t="shared" si="6"/>
        <v>2021012</v>
      </c>
      <c r="C105" s="7" t="str">
        <f t="shared" si="7"/>
        <v>004</v>
      </c>
      <c r="D105" s="7" t="str">
        <f>"13"</f>
        <v>13</v>
      </c>
      <c r="E105" s="8">
        <v>66.8</v>
      </c>
      <c r="F105" s="7" t="s">
        <v>7</v>
      </c>
    </row>
    <row r="106" s="2" customFormat="1" ht="14.1" customHeight="1" spans="1:6">
      <c r="A106" s="7" t="str">
        <f>"2101200414"</f>
        <v>2101200414</v>
      </c>
      <c r="B106" s="7" t="str">
        <f t="shared" si="6"/>
        <v>2021012</v>
      </c>
      <c r="C106" s="7" t="str">
        <f t="shared" si="7"/>
        <v>004</v>
      </c>
      <c r="D106" s="7" t="str">
        <f>"14"</f>
        <v>14</v>
      </c>
      <c r="E106" s="8">
        <v>0</v>
      </c>
      <c r="F106" s="7" t="s">
        <v>8</v>
      </c>
    </row>
    <row r="107" s="2" customFormat="1" ht="14.1" customHeight="1" spans="1:6">
      <c r="A107" s="7" t="str">
        <f>"2101200415"</f>
        <v>2101200415</v>
      </c>
      <c r="B107" s="7" t="str">
        <f t="shared" si="6"/>
        <v>2021012</v>
      </c>
      <c r="C107" s="7" t="str">
        <f t="shared" si="7"/>
        <v>004</v>
      </c>
      <c r="D107" s="7" t="str">
        <f>"15"</f>
        <v>15</v>
      </c>
      <c r="E107" s="8">
        <v>75</v>
      </c>
      <c r="F107" s="7" t="s">
        <v>7</v>
      </c>
    </row>
    <row r="108" s="2" customFormat="1" ht="14.1" customHeight="1" spans="1:6">
      <c r="A108" s="7" t="str">
        <f>"2101200416"</f>
        <v>2101200416</v>
      </c>
      <c r="B108" s="7" t="str">
        <f t="shared" si="6"/>
        <v>2021012</v>
      </c>
      <c r="C108" s="7" t="str">
        <f t="shared" si="7"/>
        <v>004</v>
      </c>
      <c r="D108" s="7" t="str">
        <f>"16"</f>
        <v>16</v>
      </c>
      <c r="E108" s="8">
        <v>0</v>
      </c>
      <c r="F108" s="7" t="s">
        <v>8</v>
      </c>
    </row>
    <row r="109" s="2" customFormat="1" ht="14.1" customHeight="1" spans="1:6">
      <c r="A109" s="7" t="str">
        <f>"2101200417"</f>
        <v>2101200417</v>
      </c>
      <c r="B109" s="7" t="str">
        <f t="shared" si="6"/>
        <v>2021012</v>
      </c>
      <c r="C109" s="7" t="str">
        <f t="shared" si="7"/>
        <v>004</v>
      </c>
      <c r="D109" s="7" t="str">
        <f>"17"</f>
        <v>17</v>
      </c>
      <c r="E109" s="8">
        <v>66.6</v>
      </c>
      <c r="F109" s="7" t="s">
        <v>7</v>
      </c>
    </row>
    <row r="110" s="2" customFormat="1" ht="14.1" customHeight="1" spans="1:6">
      <c r="A110" s="7" t="str">
        <f>"2101200418"</f>
        <v>2101200418</v>
      </c>
      <c r="B110" s="7" t="str">
        <f t="shared" si="6"/>
        <v>2021012</v>
      </c>
      <c r="C110" s="7" t="str">
        <f t="shared" si="7"/>
        <v>004</v>
      </c>
      <c r="D110" s="7" t="str">
        <f>"18"</f>
        <v>18</v>
      </c>
      <c r="E110" s="8">
        <v>65.8</v>
      </c>
      <c r="F110" s="7" t="s">
        <v>7</v>
      </c>
    </row>
    <row r="111" s="2" customFormat="1" ht="14.1" customHeight="1" spans="1:6">
      <c r="A111" s="7" t="str">
        <f>"2101200419"</f>
        <v>2101200419</v>
      </c>
      <c r="B111" s="7" t="str">
        <f t="shared" si="6"/>
        <v>2021012</v>
      </c>
      <c r="C111" s="7" t="str">
        <f t="shared" si="7"/>
        <v>004</v>
      </c>
      <c r="D111" s="7" t="str">
        <f>"19"</f>
        <v>19</v>
      </c>
      <c r="E111" s="8">
        <v>0</v>
      </c>
      <c r="F111" s="7" t="s">
        <v>8</v>
      </c>
    </row>
    <row r="112" s="2" customFormat="1" ht="14.1" customHeight="1" spans="1:6">
      <c r="A112" s="7" t="str">
        <f>"2101200420"</f>
        <v>2101200420</v>
      </c>
      <c r="B112" s="7" t="str">
        <f t="shared" si="6"/>
        <v>2021012</v>
      </c>
      <c r="C112" s="7" t="str">
        <f t="shared" si="7"/>
        <v>004</v>
      </c>
      <c r="D112" s="7" t="str">
        <f>"20"</f>
        <v>20</v>
      </c>
      <c r="E112" s="8">
        <v>69.1</v>
      </c>
      <c r="F112" s="7" t="s">
        <v>7</v>
      </c>
    </row>
    <row r="113" s="2" customFormat="1" ht="14.1" customHeight="1" spans="1:6">
      <c r="A113" s="7" t="str">
        <f>"2101200421"</f>
        <v>2101200421</v>
      </c>
      <c r="B113" s="7" t="str">
        <f t="shared" si="6"/>
        <v>2021012</v>
      </c>
      <c r="C113" s="7" t="str">
        <f t="shared" si="7"/>
        <v>004</v>
      </c>
      <c r="D113" s="7" t="str">
        <f>"21"</f>
        <v>21</v>
      </c>
      <c r="E113" s="8">
        <v>0</v>
      </c>
      <c r="F113" s="7" t="s">
        <v>8</v>
      </c>
    </row>
    <row r="114" s="2" customFormat="1" ht="14.1" customHeight="1" spans="1:6">
      <c r="A114" s="7" t="str">
        <f>"2101200422"</f>
        <v>2101200422</v>
      </c>
      <c r="B114" s="7" t="str">
        <f t="shared" si="6"/>
        <v>2021012</v>
      </c>
      <c r="C114" s="7" t="str">
        <f t="shared" si="7"/>
        <v>004</v>
      </c>
      <c r="D114" s="7" t="str">
        <f>"22"</f>
        <v>22</v>
      </c>
      <c r="E114" s="8">
        <v>59.6</v>
      </c>
      <c r="F114" s="7" t="s">
        <v>7</v>
      </c>
    </row>
    <row r="115" s="2" customFormat="1" ht="14.1" customHeight="1" spans="1:6">
      <c r="A115" s="7" t="str">
        <f>"2101200423"</f>
        <v>2101200423</v>
      </c>
      <c r="B115" s="7" t="str">
        <f t="shared" si="6"/>
        <v>2021012</v>
      </c>
      <c r="C115" s="7" t="str">
        <f t="shared" si="7"/>
        <v>004</v>
      </c>
      <c r="D115" s="7" t="str">
        <f>"23"</f>
        <v>23</v>
      </c>
      <c r="E115" s="8">
        <v>69</v>
      </c>
      <c r="F115" s="7" t="s">
        <v>7</v>
      </c>
    </row>
    <row r="116" s="2" customFormat="1" ht="14.1" customHeight="1" spans="1:6">
      <c r="A116" s="7" t="str">
        <f>"2101200424"</f>
        <v>2101200424</v>
      </c>
      <c r="B116" s="7" t="str">
        <f t="shared" si="6"/>
        <v>2021012</v>
      </c>
      <c r="C116" s="7" t="str">
        <f t="shared" si="7"/>
        <v>004</v>
      </c>
      <c r="D116" s="7" t="str">
        <f>"24"</f>
        <v>24</v>
      </c>
      <c r="E116" s="8">
        <v>58.3</v>
      </c>
      <c r="F116" s="7" t="s">
        <v>7</v>
      </c>
    </row>
    <row r="117" s="2" customFormat="1" ht="14.1" customHeight="1" spans="1:6">
      <c r="A117" s="7" t="str">
        <f>"2101200425"</f>
        <v>2101200425</v>
      </c>
      <c r="B117" s="7" t="str">
        <f t="shared" si="6"/>
        <v>2021012</v>
      </c>
      <c r="C117" s="7" t="str">
        <f t="shared" si="7"/>
        <v>004</v>
      </c>
      <c r="D117" s="7" t="str">
        <f>"25"</f>
        <v>25</v>
      </c>
      <c r="E117" s="8">
        <v>60.2</v>
      </c>
      <c r="F117" s="7" t="s">
        <v>7</v>
      </c>
    </row>
    <row r="118" s="2" customFormat="1" ht="14.1" customHeight="1" spans="1:6">
      <c r="A118" s="7" t="str">
        <f>"2101200426"</f>
        <v>2101200426</v>
      </c>
      <c r="B118" s="7" t="str">
        <f t="shared" si="6"/>
        <v>2021012</v>
      </c>
      <c r="C118" s="7" t="str">
        <f t="shared" si="7"/>
        <v>004</v>
      </c>
      <c r="D118" s="7" t="str">
        <f>"26"</f>
        <v>26</v>
      </c>
      <c r="E118" s="8">
        <v>0</v>
      </c>
      <c r="F118" s="7" t="s">
        <v>8</v>
      </c>
    </row>
    <row r="119" s="2" customFormat="1" ht="14.1" customHeight="1" spans="1:6">
      <c r="A119" s="7" t="str">
        <f>"2101200427"</f>
        <v>2101200427</v>
      </c>
      <c r="B119" s="7" t="str">
        <f t="shared" si="6"/>
        <v>2021012</v>
      </c>
      <c r="C119" s="7" t="str">
        <f t="shared" si="7"/>
        <v>004</v>
      </c>
      <c r="D119" s="7" t="str">
        <f>"27"</f>
        <v>27</v>
      </c>
      <c r="E119" s="8">
        <v>64.9</v>
      </c>
      <c r="F119" s="7" t="s">
        <v>7</v>
      </c>
    </row>
    <row r="120" s="2" customFormat="1" ht="14.1" customHeight="1" spans="1:6">
      <c r="A120" s="7" t="str">
        <f>"2101200428"</f>
        <v>2101200428</v>
      </c>
      <c r="B120" s="7" t="str">
        <f t="shared" si="6"/>
        <v>2021012</v>
      </c>
      <c r="C120" s="7" t="str">
        <f t="shared" si="7"/>
        <v>004</v>
      </c>
      <c r="D120" s="7" t="str">
        <f>"28"</f>
        <v>28</v>
      </c>
      <c r="E120" s="8">
        <v>0</v>
      </c>
      <c r="F120" s="7" t="s">
        <v>8</v>
      </c>
    </row>
    <row r="121" s="2" customFormat="1" ht="14.1" customHeight="1" spans="1:6">
      <c r="A121" s="7" t="str">
        <f>"2101200429"</f>
        <v>2101200429</v>
      </c>
      <c r="B121" s="7" t="str">
        <f t="shared" si="6"/>
        <v>2021012</v>
      </c>
      <c r="C121" s="7" t="str">
        <f t="shared" si="7"/>
        <v>004</v>
      </c>
      <c r="D121" s="7" t="str">
        <f>"29"</f>
        <v>29</v>
      </c>
      <c r="E121" s="8">
        <v>65.7</v>
      </c>
      <c r="F121" s="7" t="s">
        <v>7</v>
      </c>
    </row>
    <row r="122" s="2" customFormat="1" ht="14.1" customHeight="1" spans="1:6">
      <c r="A122" s="7" t="str">
        <f>"2101200430"</f>
        <v>2101200430</v>
      </c>
      <c r="B122" s="7" t="str">
        <f t="shared" si="6"/>
        <v>2021012</v>
      </c>
      <c r="C122" s="7" t="str">
        <f t="shared" si="7"/>
        <v>004</v>
      </c>
      <c r="D122" s="7" t="str">
        <f>"30"</f>
        <v>30</v>
      </c>
      <c r="E122" s="8">
        <v>63.5</v>
      </c>
      <c r="F122" s="7" t="s">
        <v>7</v>
      </c>
    </row>
    <row r="123" s="2" customFormat="1" ht="14.1" customHeight="1" spans="1:6">
      <c r="A123" s="7" t="str">
        <f>"2101200501"</f>
        <v>2101200501</v>
      </c>
      <c r="B123" s="7" t="str">
        <f t="shared" si="6"/>
        <v>2021012</v>
      </c>
      <c r="C123" s="7" t="str">
        <f t="shared" ref="C123:C152" si="8">"005"</f>
        <v>005</v>
      </c>
      <c r="D123" s="7" t="str">
        <f>"01"</f>
        <v>01</v>
      </c>
      <c r="E123" s="8">
        <v>58</v>
      </c>
      <c r="F123" s="7" t="s">
        <v>7</v>
      </c>
    </row>
    <row r="124" s="2" customFormat="1" ht="14.1" customHeight="1" spans="1:6">
      <c r="A124" s="7" t="str">
        <f>"2101200502"</f>
        <v>2101200502</v>
      </c>
      <c r="B124" s="7" t="str">
        <f t="shared" si="6"/>
        <v>2021012</v>
      </c>
      <c r="C124" s="7" t="str">
        <f t="shared" si="8"/>
        <v>005</v>
      </c>
      <c r="D124" s="7" t="str">
        <f>"02"</f>
        <v>02</v>
      </c>
      <c r="E124" s="8">
        <v>65.8</v>
      </c>
      <c r="F124" s="7" t="s">
        <v>7</v>
      </c>
    </row>
    <row r="125" s="2" customFormat="1" ht="14.1" customHeight="1" spans="1:6">
      <c r="A125" s="7" t="str">
        <f>"2101200503"</f>
        <v>2101200503</v>
      </c>
      <c r="B125" s="7" t="str">
        <f t="shared" si="6"/>
        <v>2021012</v>
      </c>
      <c r="C125" s="7" t="str">
        <f t="shared" si="8"/>
        <v>005</v>
      </c>
      <c r="D125" s="7" t="str">
        <f>"03"</f>
        <v>03</v>
      </c>
      <c r="E125" s="8">
        <v>0</v>
      </c>
      <c r="F125" s="7" t="s">
        <v>8</v>
      </c>
    </row>
    <row r="126" s="2" customFormat="1" ht="14.1" customHeight="1" spans="1:6">
      <c r="A126" s="7" t="str">
        <f>"2101200504"</f>
        <v>2101200504</v>
      </c>
      <c r="B126" s="7" t="str">
        <f t="shared" si="6"/>
        <v>2021012</v>
      </c>
      <c r="C126" s="7" t="str">
        <f t="shared" si="8"/>
        <v>005</v>
      </c>
      <c r="D126" s="7" t="str">
        <f>"04"</f>
        <v>04</v>
      </c>
      <c r="E126" s="8">
        <v>0</v>
      </c>
      <c r="F126" s="7" t="s">
        <v>8</v>
      </c>
    </row>
    <row r="127" s="2" customFormat="1" ht="14.1" customHeight="1" spans="1:6">
      <c r="A127" s="7" t="str">
        <f>"2101200505"</f>
        <v>2101200505</v>
      </c>
      <c r="B127" s="7" t="str">
        <f t="shared" si="6"/>
        <v>2021012</v>
      </c>
      <c r="C127" s="7" t="str">
        <f t="shared" si="8"/>
        <v>005</v>
      </c>
      <c r="D127" s="7" t="str">
        <f>"05"</f>
        <v>05</v>
      </c>
      <c r="E127" s="8">
        <v>57.2</v>
      </c>
      <c r="F127" s="7" t="s">
        <v>7</v>
      </c>
    </row>
    <row r="128" s="2" customFormat="1" ht="14.1" customHeight="1" spans="1:6">
      <c r="A128" s="7" t="str">
        <f>"2101200506"</f>
        <v>2101200506</v>
      </c>
      <c r="B128" s="7" t="str">
        <f t="shared" si="6"/>
        <v>2021012</v>
      </c>
      <c r="C128" s="7" t="str">
        <f t="shared" si="8"/>
        <v>005</v>
      </c>
      <c r="D128" s="7" t="str">
        <f>"06"</f>
        <v>06</v>
      </c>
      <c r="E128" s="8">
        <v>63.5</v>
      </c>
      <c r="F128" s="7" t="s">
        <v>7</v>
      </c>
    </row>
    <row r="129" s="2" customFormat="1" ht="14.1" customHeight="1" spans="1:6">
      <c r="A129" s="7" t="str">
        <f>"2101200507"</f>
        <v>2101200507</v>
      </c>
      <c r="B129" s="7" t="str">
        <f t="shared" si="6"/>
        <v>2021012</v>
      </c>
      <c r="C129" s="7" t="str">
        <f t="shared" si="8"/>
        <v>005</v>
      </c>
      <c r="D129" s="7" t="str">
        <f>"07"</f>
        <v>07</v>
      </c>
      <c r="E129" s="8">
        <v>0</v>
      </c>
      <c r="F129" s="7" t="s">
        <v>8</v>
      </c>
    </row>
    <row r="130" s="2" customFormat="1" ht="14.1" customHeight="1" spans="1:6">
      <c r="A130" s="7" t="str">
        <f>"2101200508"</f>
        <v>2101200508</v>
      </c>
      <c r="B130" s="7" t="str">
        <f t="shared" si="6"/>
        <v>2021012</v>
      </c>
      <c r="C130" s="7" t="str">
        <f t="shared" si="8"/>
        <v>005</v>
      </c>
      <c r="D130" s="7" t="str">
        <f>"08"</f>
        <v>08</v>
      </c>
      <c r="E130" s="8">
        <v>66.1</v>
      </c>
      <c r="F130" s="7" t="s">
        <v>7</v>
      </c>
    </row>
    <row r="131" s="2" customFormat="1" ht="14.1" customHeight="1" spans="1:6">
      <c r="A131" s="7" t="str">
        <f>"2101200509"</f>
        <v>2101200509</v>
      </c>
      <c r="B131" s="7" t="str">
        <f t="shared" si="6"/>
        <v>2021012</v>
      </c>
      <c r="C131" s="7" t="str">
        <f t="shared" si="8"/>
        <v>005</v>
      </c>
      <c r="D131" s="7" t="str">
        <f>"09"</f>
        <v>09</v>
      </c>
      <c r="E131" s="8">
        <v>0</v>
      </c>
      <c r="F131" s="7" t="s">
        <v>8</v>
      </c>
    </row>
    <row r="132" s="2" customFormat="1" ht="14.1" customHeight="1" spans="1:6">
      <c r="A132" s="7" t="str">
        <f>"2101200510"</f>
        <v>2101200510</v>
      </c>
      <c r="B132" s="7" t="str">
        <f t="shared" si="6"/>
        <v>2021012</v>
      </c>
      <c r="C132" s="7" t="str">
        <f t="shared" si="8"/>
        <v>005</v>
      </c>
      <c r="D132" s="7" t="str">
        <f>"10"</f>
        <v>10</v>
      </c>
      <c r="E132" s="8">
        <v>0</v>
      </c>
      <c r="F132" s="7" t="s">
        <v>8</v>
      </c>
    </row>
    <row r="133" s="2" customFormat="1" ht="14.1" customHeight="1" spans="1:6">
      <c r="A133" s="7" t="str">
        <f>"2101200511"</f>
        <v>2101200511</v>
      </c>
      <c r="B133" s="7" t="str">
        <f t="shared" si="6"/>
        <v>2021012</v>
      </c>
      <c r="C133" s="7" t="str">
        <f t="shared" si="8"/>
        <v>005</v>
      </c>
      <c r="D133" s="7" t="str">
        <f>"11"</f>
        <v>11</v>
      </c>
      <c r="E133" s="8">
        <v>62.9</v>
      </c>
      <c r="F133" s="7" t="s">
        <v>7</v>
      </c>
    </row>
    <row r="134" s="2" customFormat="1" ht="14.1" customHeight="1" spans="1:6">
      <c r="A134" s="7" t="str">
        <f>"2101200512"</f>
        <v>2101200512</v>
      </c>
      <c r="B134" s="7" t="str">
        <f t="shared" si="6"/>
        <v>2021012</v>
      </c>
      <c r="C134" s="7" t="str">
        <f t="shared" si="8"/>
        <v>005</v>
      </c>
      <c r="D134" s="7" t="str">
        <f>"12"</f>
        <v>12</v>
      </c>
      <c r="E134" s="8">
        <v>58.6</v>
      </c>
      <c r="F134" s="7" t="s">
        <v>7</v>
      </c>
    </row>
    <row r="135" s="2" customFormat="1" ht="14.1" customHeight="1" spans="1:6">
      <c r="A135" s="7" t="str">
        <f>"2101200513"</f>
        <v>2101200513</v>
      </c>
      <c r="B135" s="7" t="str">
        <f t="shared" si="6"/>
        <v>2021012</v>
      </c>
      <c r="C135" s="7" t="str">
        <f t="shared" si="8"/>
        <v>005</v>
      </c>
      <c r="D135" s="7" t="str">
        <f>"13"</f>
        <v>13</v>
      </c>
      <c r="E135" s="8">
        <v>62.3</v>
      </c>
      <c r="F135" s="7" t="s">
        <v>7</v>
      </c>
    </row>
    <row r="136" s="2" customFormat="1" ht="14.1" customHeight="1" spans="1:6">
      <c r="A136" s="7" t="str">
        <f>"2101200514"</f>
        <v>2101200514</v>
      </c>
      <c r="B136" s="7" t="str">
        <f t="shared" si="6"/>
        <v>2021012</v>
      </c>
      <c r="C136" s="7" t="str">
        <f t="shared" si="8"/>
        <v>005</v>
      </c>
      <c r="D136" s="7" t="str">
        <f>"14"</f>
        <v>14</v>
      </c>
      <c r="E136" s="8">
        <v>73.7</v>
      </c>
      <c r="F136" s="7" t="s">
        <v>7</v>
      </c>
    </row>
    <row r="137" s="2" customFormat="1" ht="14.1" customHeight="1" spans="1:6">
      <c r="A137" s="7" t="str">
        <f>"2101200515"</f>
        <v>2101200515</v>
      </c>
      <c r="B137" s="7" t="str">
        <f t="shared" si="6"/>
        <v>2021012</v>
      </c>
      <c r="C137" s="7" t="str">
        <f t="shared" si="8"/>
        <v>005</v>
      </c>
      <c r="D137" s="7" t="str">
        <f>"15"</f>
        <v>15</v>
      </c>
      <c r="E137" s="8">
        <v>72.5</v>
      </c>
      <c r="F137" s="7" t="s">
        <v>7</v>
      </c>
    </row>
    <row r="138" s="2" customFormat="1" ht="14.1" customHeight="1" spans="1:6">
      <c r="A138" s="7" t="str">
        <f>"2101200516"</f>
        <v>2101200516</v>
      </c>
      <c r="B138" s="7" t="str">
        <f t="shared" si="6"/>
        <v>2021012</v>
      </c>
      <c r="C138" s="7" t="str">
        <f t="shared" si="8"/>
        <v>005</v>
      </c>
      <c r="D138" s="7" t="str">
        <f>"16"</f>
        <v>16</v>
      </c>
      <c r="E138" s="8">
        <v>76.6</v>
      </c>
      <c r="F138" s="7" t="s">
        <v>7</v>
      </c>
    </row>
    <row r="139" s="2" customFormat="1" ht="14.1" customHeight="1" spans="1:6">
      <c r="A139" s="7" t="str">
        <f>"2101200517"</f>
        <v>2101200517</v>
      </c>
      <c r="B139" s="7" t="str">
        <f t="shared" si="6"/>
        <v>2021012</v>
      </c>
      <c r="C139" s="7" t="str">
        <f t="shared" si="8"/>
        <v>005</v>
      </c>
      <c r="D139" s="7" t="str">
        <f>"17"</f>
        <v>17</v>
      </c>
      <c r="E139" s="8">
        <v>73.6</v>
      </c>
      <c r="F139" s="7" t="s">
        <v>7</v>
      </c>
    </row>
    <row r="140" s="2" customFormat="1" ht="14.1" customHeight="1" spans="1:6">
      <c r="A140" s="7" t="str">
        <f>"2101300518"</f>
        <v>2101300518</v>
      </c>
      <c r="B140" s="7" t="str">
        <f t="shared" ref="B140:B160" si="9">"2021013"</f>
        <v>2021013</v>
      </c>
      <c r="C140" s="7" t="str">
        <f t="shared" si="8"/>
        <v>005</v>
      </c>
      <c r="D140" s="7" t="str">
        <f>"18"</f>
        <v>18</v>
      </c>
      <c r="E140" s="8">
        <v>72.6</v>
      </c>
      <c r="F140" s="7" t="s">
        <v>7</v>
      </c>
    </row>
    <row r="141" s="2" customFormat="1" ht="14.1" customHeight="1" spans="1:6">
      <c r="A141" s="7" t="str">
        <f>"2101300519"</f>
        <v>2101300519</v>
      </c>
      <c r="B141" s="7" t="str">
        <f t="shared" si="9"/>
        <v>2021013</v>
      </c>
      <c r="C141" s="7" t="str">
        <f t="shared" si="8"/>
        <v>005</v>
      </c>
      <c r="D141" s="7" t="str">
        <f>"19"</f>
        <v>19</v>
      </c>
      <c r="E141" s="8">
        <v>65.8</v>
      </c>
      <c r="F141" s="7" t="s">
        <v>7</v>
      </c>
    </row>
    <row r="142" s="2" customFormat="1" ht="14.1" customHeight="1" spans="1:6">
      <c r="A142" s="7" t="str">
        <f>"2101300520"</f>
        <v>2101300520</v>
      </c>
      <c r="B142" s="7" t="str">
        <f t="shared" si="9"/>
        <v>2021013</v>
      </c>
      <c r="C142" s="7" t="str">
        <f t="shared" si="8"/>
        <v>005</v>
      </c>
      <c r="D142" s="7" t="str">
        <f>"20"</f>
        <v>20</v>
      </c>
      <c r="E142" s="8">
        <v>0</v>
      </c>
      <c r="F142" s="7" t="s">
        <v>8</v>
      </c>
    </row>
    <row r="143" s="2" customFormat="1" ht="14.1" customHeight="1" spans="1:6">
      <c r="A143" s="7" t="str">
        <f>"2101300521"</f>
        <v>2101300521</v>
      </c>
      <c r="B143" s="7" t="str">
        <f t="shared" si="9"/>
        <v>2021013</v>
      </c>
      <c r="C143" s="7" t="str">
        <f t="shared" si="8"/>
        <v>005</v>
      </c>
      <c r="D143" s="7" t="str">
        <f>"21"</f>
        <v>21</v>
      </c>
      <c r="E143" s="8">
        <v>0</v>
      </c>
      <c r="F143" s="7" t="s">
        <v>8</v>
      </c>
    </row>
    <row r="144" s="2" customFormat="1" ht="14.1" customHeight="1" spans="1:6">
      <c r="A144" s="7" t="str">
        <f>"2101300522"</f>
        <v>2101300522</v>
      </c>
      <c r="B144" s="7" t="str">
        <f t="shared" si="9"/>
        <v>2021013</v>
      </c>
      <c r="C144" s="7" t="str">
        <f t="shared" si="8"/>
        <v>005</v>
      </c>
      <c r="D144" s="7" t="str">
        <f>"22"</f>
        <v>22</v>
      </c>
      <c r="E144" s="8">
        <v>0</v>
      </c>
      <c r="F144" s="7" t="s">
        <v>8</v>
      </c>
    </row>
    <row r="145" s="2" customFormat="1" ht="14.1" customHeight="1" spans="1:6">
      <c r="A145" s="7" t="str">
        <f>"2101300523"</f>
        <v>2101300523</v>
      </c>
      <c r="B145" s="7" t="str">
        <f t="shared" si="9"/>
        <v>2021013</v>
      </c>
      <c r="C145" s="7" t="str">
        <f t="shared" si="8"/>
        <v>005</v>
      </c>
      <c r="D145" s="7" t="str">
        <f>"23"</f>
        <v>23</v>
      </c>
      <c r="E145" s="8">
        <v>66.1</v>
      </c>
      <c r="F145" s="7" t="s">
        <v>7</v>
      </c>
    </row>
    <row r="146" s="2" customFormat="1" ht="14.1" customHeight="1" spans="1:6">
      <c r="A146" s="7" t="str">
        <f>"2101300524"</f>
        <v>2101300524</v>
      </c>
      <c r="B146" s="7" t="str">
        <f t="shared" si="9"/>
        <v>2021013</v>
      </c>
      <c r="C146" s="7" t="str">
        <f t="shared" si="8"/>
        <v>005</v>
      </c>
      <c r="D146" s="7" t="str">
        <f>"24"</f>
        <v>24</v>
      </c>
      <c r="E146" s="8">
        <v>0</v>
      </c>
      <c r="F146" s="7" t="s">
        <v>8</v>
      </c>
    </row>
    <row r="147" s="2" customFormat="1" ht="14.1" customHeight="1" spans="1:6">
      <c r="A147" s="7" t="str">
        <f>"2101300525"</f>
        <v>2101300525</v>
      </c>
      <c r="B147" s="7" t="str">
        <f t="shared" si="9"/>
        <v>2021013</v>
      </c>
      <c r="C147" s="7" t="str">
        <f t="shared" si="8"/>
        <v>005</v>
      </c>
      <c r="D147" s="7" t="str">
        <f>"25"</f>
        <v>25</v>
      </c>
      <c r="E147" s="8">
        <v>62.6</v>
      </c>
      <c r="F147" s="7" t="s">
        <v>7</v>
      </c>
    </row>
    <row r="148" s="2" customFormat="1" ht="14.1" customHeight="1" spans="1:6">
      <c r="A148" s="7" t="str">
        <f>"2101300526"</f>
        <v>2101300526</v>
      </c>
      <c r="B148" s="7" t="str">
        <f t="shared" si="9"/>
        <v>2021013</v>
      </c>
      <c r="C148" s="7" t="str">
        <f t="shared" si="8"/>
        <v>005</v>
      </c>
      <c r="D148" s="7" t="str">
        <f>"26"</f>
        <v>26</v>
      </c>
      <c r="E148" s="8">
        <v>73.2</v>
      </c>
      <c r="F148" s="7" t="s">
        <v>7</v>
      </c>
    </row>
    <row r="149" s="2" customFormat="1" ht="14.1" customHeight="1" spans="1:6">
      <c r="A149" s="7" t="str">
        <f>"2101300527"</f>
        <v>2101300527</v>
      </c>
      <c r="B149" s="7" t="str">
        <f t="shared" si="9"/>
        <v>2021013</v>
      </c>
      <c r="C149" s="7" t="str">
        <f t="shared" si="8"/>
        <v>005</v>
      </c>
      <c r="D149" s="7" t="str">
        <f>"27"</f>
        <v>27</v>
      </c>
      <c r="E149" s="8">
        <v>69.1</v>
      </c>
      <c r="F149" s="7" t="s">
        <v>7</v>
      </c>
    </row>
    <row r="150" s="2" customFormat="1" ht="14.1" customHeight="1" spans="1:6">
      <c r="A150" s="7" t="str">
        <f>"2101300528"</f>
        <v>2101300528</v>
      </c>
      <c r="B150" s="7" t="str">
        <f t="shared" si="9"/>
        <v>2021013</v>
      </c>
      <c r="C150" s="7" t="str">
        <f t="shared" si="8"/>
        <v>005</v>
      </c>
      <c r="D150" s="7" t="str">
        <f>"28"</f>
        <v>28</v>
      </c>
      <c r="E150" s="8">
        <v>0</v>
      </c>
      <c r="F150" s="7" t="s">
        <v>8</v>
      </c>
    </row>
    <row r="151" s="2" customFormat="1" ht="14.1" customHeight="1" spans="1:6">
      <c r="A151" s="7" t="str">
        <f>"2101300529"</f>
        <v>2101300529</v>
      </c>
      <c r="B151" s="7" t="str">
        <f t="shared" si="9"/>
        <v>2021013</v>
      </c>
      <c r="C151" s="7" t="str">
        <f t="shared" si="8"/>
        <v>005</v>
      </c>
      <c r="D151" s="7" t="str">
        <f>"29"</f>
        <v>29</v>
      </c>
      <c r="E151" s="8">
        <v>0</v>
      </c>
      <c r="F151" s="7" t="s">
        <v>8</v>
      </c>
    </row>
    <row r="152" s="2" customFormat="1" ht="14.1" customHeight="1" spans="1:6">
      <c r="A152" s="7" t="str">
        <f>"2101300530"</f>
        <v>2101300530</v>
      </c>
      <c r="B152" s="7" t="str">
        <f t="shared" si="9"/>
        <v>2021013</v>
      </c>
      <c r="C152" s="7" t="str">
        <f t="shared" si="8"/>
        <v>005</v>
      </c>
      <c r="D152" s="7" t="str">
        <f>"30"</f>
        <v>30</v>
      </c>
      <c r="E152" s="8">
        <v>71.4</v>
      </c>
      <c r="F152" s="7" t="s">
        <v>7</v>
      </c>
    </row>
    <row r="153" s="2" customFormat="1" ht="14.1" customHeight="1" spans="1:6">
      <c r="A153" s="7" t="str">
        <f>"2101300601"</f>
        <v>2101300601</v>
      </c>
      <c r="B153" s="7" t="str">
        <f t="shared" si="9"/>
        <v>2021013</v>
      </c>
      <c r="C153" s="7" t="str">
        <f t="shared" ref="C153:C182" si="10">"006"</f>
        <v>006</v>
      </c>
      <c r="D153" s="7" t="str">
        <f>"01"</f>
        <v>01</v>
      </c>
      <c r="E153" s="8">
        <v>0</v>
      </c>
      <c r="F153" s="7" t="s">
        <v>8</v>
      </c>
    </row>
    <row r="154" s="2" customFormat="1" ht="14.1" customHeight="1" spans="1:6">
      <c r="A154" s="7" t="str">
        <f>"2101300602"</f>
        <v>2101300602</v>
      </c>
      <c r="B154" s="7" t="str">
        <f t="shared" si="9"/>
        <v>2021013</v>
      </c>
      <c r="C154" s="7" t="str">
        <f t="shared" si="10"/>
        <v>006</v>
      </c>
      <c r="D154" s="7" t="str">
        <f>"02"</f>
        <v>02</v>
      </c>
      <c r="E154" s="8">
        <v>69.7</v>
      </c>
      <c r="F154" s="7" t="s">
        <v>7</v>
      </c>
    </row>
    <row r="155" s="2" customFormat="1" ht="14.1" customHeight="1" spans="1:6">
      <c r="A155" s="7" t="str">
        <f>"2101300603"</f>
        <v>2101300603</v>
      </c>
      <c r="B155" s="7" t="str">
        <f t="shared" si="9"/>
        <v>2021013</v>
      </c>
      <c r="C155" s="7" t="str">
        <f t="shared" si="10"/>
        <v>006</v>
      </c>
      <c r="D155" s="7" t="str">
        <f>"03"</f>
        <v>03</v>
      </c>
      <c r="E155" s="8">
        <v>63.5</v>
      </c>
      <c r="F155" s="7" t="s">
        <v>7</v>
      </c>
    </row>
    <row r="156" s="2" customFormat="1" ht="14.1" customHeight="1" spans="1:6">
      <c r="A156" s="7" t="str">
        <f>"2101300604"</f>
        <v>2101300604</v>
      </c>
      <c r="B156" s="7" t="str">
        <f t="shared" si="9"/>
        <v>2021013</v>
      </c>
      <c r="C156" s="7" t="str">
        <f t="shared" si="10"/>
        <v>006</v>
      </c>
      <c r="D156" s="7" t="str">
        <f>"04"</f>
        <v>04</v>
      </c>
      <c r="E156" s="8">
        <v>0</v>
      </c>
      <c r="F156" s="7" t="s">
        <v>8</v>
      </c>
    </row>
    <row r="157" s="2" customFormat="1" ht="14.1" customHeight="1" spans="1:6">
      <c r="A157" s="7" t="str">
        <f>"2101300605"</f>
        <v>2101300605</v>
      </c>
      <c r="B157" s="7" t="str">
        <f t="shared" si="9"/>
        <v>2021013</v>
      </c>
      <c r="C157" s="7" t="str">
        <f t="shared" si="10"/>
        <v>006</v>
      </c>
      <c r="D157" s="7" t="str">
        <f>"05"</f>
        <v>05</v>
      </c>
      <c r="E157" s="8">
        <v>0</v>
      </c>
      <c r="F157" s="7" t="s">
        <v>8</v>
      </c>
    </row>
    <row r="158" s="2" customFormat="1" ht="14.1" customHeight="1" spans="1:6">
      <c r="A158" s="7" t="str">
        <f>"2101300606"</f>
        <v>2101300606</v>
      </c>
      <c r="B158" s="7" t="str">
        <f t="shared" si="9"/>
        <v>2021013</v>
      </c>
      <c r="C158" s="7" t="str">
        <f t="shared" si="10"/>
        <v>006</v>
      </c>
      <c r="D158" s="7" t="str">
        <f>"06"</f>
        <v>06</v>
      </c>
      <c r="E158" s="8">
        <v>0</v>
      </c>
      <c r="F158" s="7" t="s">
        <v>8</v>
      </c>
    </row>
    <row r="159" s="2" customFormat="1" ht="14.1" customHeight="1" spans="1:6">
      <c r="A159" s="7" t="str">
        <f>"2101300607"</f>
        <v>2101300607</v>
      </c>
      <c r="B159" s="7" t="str">
        <f t="shared" si="9"/>
        <v>2021013</v>
      </c>
      <c r="C159" s="7" t="str">
        <f t="shared" si="10"/>
        <v>006</v>
      </c>
      <c r="D159" s="7" t="str">
        <f>"07"</f>
        <v>07</v>
      </c>
      <c r="E159" s="8">
        <v>65.9</v>
      </c>
      <c r="F159" s="7" t="s">
        <v>7</v>
      </c>
    </row>
    <row r="160" s="2" customFormat="1" ht="14.1" customHeight="1" spans="1:6">
      <c r="A160" s="7" t="str">
        <f>"2101300608"</f>
        <v>2101300608</v>
      </c>
      <c r="B160" s="7" t="str">
        <f t="shared" si="9"/>
        <v>2021013</v>
      </c>
      <c r="C160" s="7" t="str">
        <f t="shared" si="10"/>
        <v>006</v>
      </c>
      <c r="D160" s="7" t="str">
        <f>"08"</f>
        <v>08</v>
      </c>
      <c r="E160" s="8">
        <v>0</v>
      </c>
      <c r="F160" s="7" t="s">
        <v>8</v>
      </c>
    </row>
    <row r="161" s="2" customFormat="1" ht="14.1" customHeight="1" spans="1:6">
      <c r="A161" s="7" t="str">
        <f>"2101400609"</f>
        <v>2101400609</v>
      </c>
      <c r="B161" s="7" t="str">
        <f t="shared" ref="B161:B187" si="11">"2021014"</f>
        <v>2021014</v>
      </c>
      <c r="C161" s="7" t="str">
        <f t="shared" si="10"/>
        <v>006</v>
      </c>
      <c r="D161" s="7" t="str">
        <f>"09"</f>
        <v>09</v>
      </c>
      <c r="E161" s="8">
        <v>63.3</v>
      </c>
      <c r="F161" s="7" t="s">
        <v>7</v>
      </c>
    </row>
    <row r="162" s="2" customFormat="1" ht="14.1" customHeight="1" spans="1:6">
      <c r="A162" s="7" t="str">
        <f>"2101400610"</f>
        <v>2101400610</v>
      </c>
      <c r="B162" s="7" t="str">
        <f t="shared" si="11"/>
        <v>2021014</v>
      </c>
      <c r="C162" s="7" t="str">
        <f t="shared" si="10"/>
        <v>006</v>
      </c>
      <c r="D162" s="7" t="str">
        <f>"10"</f>
        <v>10</v>
      </c>
      <c r="E162" s="8">
        <v>65.3</v>
      </c>
      <c r="F162" s="7" t="s">
        <v>7</v>
      </c>
    </row>
    <row r="163" s="2" customFormat="1" ht="14.1" customHeight="1" spans="1:6">
      <c r="A163" s="7" t="str">
        <f>"2101400611"</f>
        <v>2101400611</v>
      </c>
      <c r="B163" s="7" t="str">
        <f t="shared" si="11"/>
        <v>2021014</v>
      </c>
      <c r="C163" s="7" t="str">
        <f t="shared" si="10"/>
        <v>006</v>
      </c>
      <c r="D163" s="7" t="str">
        <f>"11"</f>
        <v>11</v>
      </c>
      <c r="E163" s="8">
        <v>66.8</v>
      </c>
      <c r="F163" s="7" t="s">
        <v>7</v>
      </c>
    </row>
    <row r="164" s="2" customFormat="1" ht="14.1" customHeight="1" spans="1:6">
      <c r="A164" s="7" t="str">
        <f>"2101400612"</f>
        <v>2101400612</v>
      </c>
      <c r="B164" s="7" t="str">
        <f t="shared" si="11"/>
        <v>2021014</v>
      </c>
      <c r="C164" s="7" t="str">
        <f t="shared" si="10"/>
        <v>006</v>
      </c>
      <c r="D164" s="7" t="str">
        <f>"12"</f>
        <v>12</v>
      </c>
      <c r="E164" s="8">
        <v>63.7</v>
      </c>
      <c r="F164" s="7" t="s">
        <v>7</v>
      </c>
    </row>
    <row r="165" s="2" customFormat="1" ht="14.1" customHeight="1" spans="1:6">
      <c r="A165" s="7" t="str">
        <f>"2101400613"</f>
        <v>2101400613</v>
      </c>
      <c r="B165" s="7" t="str">
        <f t="shared" si="11"/>
        <v>2021014</v>
      </c>
      <c r="C165" s="7" t="str">
        <f t="shared" si="10"/>
        <v>006</v>
      </c>
      <c r="D165" s="7" t="str">
        <f>"13"</f>
        <v>13</v>
      </c>
      <c r="E165" s="8">
        <v>0</v>
      </c>
      <c r="F165" s="7" t="s">
        <v>8</v>
      </c>
    </row>
    <row r="166" s="2" customFormat="1" ht="14.1" customHeight="1" spans="1:6">
      <c r="A166" s="7" t="str">
        <f>"2101400614"</f>
        <v>2101400614</v>
      </c>
      <c r="B166" s="7" t="str">
        <f t="shared" si="11"/>
        <v>2021014</v>
      </c>
      <c r="C166" s="7" t="str">
        <f t="shared" si="10"/>
        <v>006</v>
      </c>
      <c r="D166" s="7" t="str">
        <f>"14"</f>
        <v>14</v>
      </c>
      <c r="E166" s="8">
        <v>71.2</v>
      </c>
      <c r="F166" s="7" t="s">
        <v>7</v>
      </c>
    </row>
    <row r="167" s="2" customFormat="1" ht="14.1" customHeight="1" spans="1:6">
      <c r="A167" s="7" t="str">
        <f>"2101400615"</f>
        <v>2101400615</v>
      </c>
      <c r="B167" s="7" t="str">
        <f t="shared" si="11"/>
        <v>2021014</v>
      </c>
      <c r="C167" s="7" t="str">
        <f t="shared" si="10"/>
        <v>006</v>
      </c>
      <c r="D167" s="7" t="str">
        <f>"15"</f>
        <v>15</v>
      </c>
      <c r="E167" s="8">
        <v>69.4</v>
      </c>
      <c r="F167" s="7" t="s">
        <v>7</v>
      </c>
    </row>
    <row r="168" s="2" customFormat="1" ht="14.1" customHeight="1" spans="1:6">
      <c r="A168" s="7" t="str">
        <f>"2101400616"</f>
        <v>2101400616</v>
      </c>
      <c r="B168" s="7" t="str">
        <f t="shared" si="11"/>
        <v>2021014</v>
      </c>
      <c r="C168" s="7" t="str">
        <f t="shared" si="10"/>
        <v>006</v>
      </c>
      <c r="D168" s="7" t="str">
        <f>"16"</f>
        <v>16</v>
      </c>
      <c r="E168" s="8">
        <v>0</v>
      </c>
      <c r="F168" s="7" t="s">
        <v>8</v>
      </c>
    </row>
    <row r="169" s="2" customFormat="1" ht="14.1" customHeight="1" spans="1:6">
      <c r="A169" s="7" t="str">
        <f>"2101400617"</f>
        <v>2101400617</v>
      </c>
      <c r="B169" s="7" t="str">
        <f t="shared" si="11"/>
        <v>2021014</v>
      </c>
      <c r="C169" s="7" t="str">
        <f t="shared" si="10"/>
        <v>006</v>
      </c>
      <c r="D169" s="7" t="str">
        <f>"17"</f>
        <v>17</v>
      </c>
      <c r="E169" s="8">
        <v>0</v>
      </c>
      <c r="F169" s="7" t="s">
        <v>8</v>
      </c>
    </row>
    <row r="170" s="2" customFormat="1" ht="14.1" customHeight="1" spans="1:6">
      <c r="A170" s="7" t="str">
        <f>"2101400618"</f>
        <v>2101400618</v>
      </c>
      <c r="B170" s="7" t="str">
        <f t="shared" si="11"/>
        <v>2021014</v>
      </c>
      <c r="C170" s="7" t="str">
        <f t="shared" si="10"/>
        <v>006</v>
      </c>
      <c r="D170" s="7" t="str">
        <f>"18"</f>
        <v>18</v>
      </c>
      <c r="E170" s="8">
        <v>69.7</v>
      </c>
      <c r="F170" s="7" t="s">
        <v>7</v>
      </c>
    </row>
    <row r="171" s="2" customFormat="1" ht="14.1" customHeight="1" spans="1:6">
      <c r="A171" s="7" t="str">
        <f>"2101400619"</f>
        <v>2101400619</v>
      </c>
      <c r="B171" s="7" t="str">
        <f t="shared" si="11"/>
        <v>2021014</v>
      </c>
      <c r="C171" s="7" t="str">
        <f t="shared" si="10"/>
        <v>006</v>
      </c>
      <c r="D171" s="7" t="str">
        <f>"19"</f>
        <v>19</v>
      </c>
      <c r="E171" s="8">
        <v>61.9</v>
      </c>
      <c r="F171" s="7" t="s">
        <v>7</v>
      </c>
    </row>
    <row r="172" s="2" customFormat="1" ht="14.1" customHeight="1" spans="1:6">
      <c r="A172" s="7" t="str">
        <f>"2101400620"</f>
        <v>2101400620</v>
      </c>
      <c r="B172" s="7" t="str">
        <f t="shared" si="11"/>
        <v>2021014</v>
      </c>
      <c r="C172" s="7" t="str">
        <f t="shared" si="10"/>
        <v>006</v>
      </c>
      <c r="D172" s="7" t="str">
        <f>"20"</f>
        <v>20</v>
      </c>
      <c r="E172" s="8">
        <v>0</v>
      </c>
      <c r="F172" s="7" t="s">
        <v>8</v>
      </c>
    </row>
    <row r="173" s="2" customFormat="1" ht="14.1" customHeight="1" spans="1:6">
      <c r="A173" s="7" t="str">
        <f>"2101400621"</f>
        <v>2101400621</v>
      </c>
      <c r="B173" s="7" t="str">
        <f t="shared" si="11"/>
        <v>2021014</v>
      </c>
      <c r="C173" s="7" t="str">
        <f t="shared" si="10"/>
        <v>006</v>
      </c>
      <c r="D173" s="7" t="str">
        <f>"21"</f>
        <v>21</v>
      </c>
      <c r="E173" s="8">
        <v>61.1</v>
      </c>
      <c r="F173" s="7" t="s">
        <v>7</v>
      </c>
    </row>
    <row r="174" s="2" customFormat="1" ht="14.1" customHeight="1" spans="1:6">
      <c r="A174" s="7" t="str">
        <f>"2101400622"</f>
        <v>2101400622</v>
      </c>
      <c r="B174" s="7" t="str">
        <f t="shared" si="11"/>
        <v>2021014</v>
      </c>
      <c r="C174" s="7" t="str">
        <f t="shared" si="10"/>
        <v>006</v>
      </c>
      <c r="D174" s="7" t="str">
        <f>"22"</f>
        <v>22</v>
      </c>
      <c r="E174" s="8">
        <v>0</v>
      </c>
      <c r="F174" s="7" t="s">
        <v>8</v>
      </c>
    </row>
    <row r="175" s="2" customFormat="1" ht="14.1" customHeight="1" spans="1:6">
      <c r="A175" s="7" t="str">
        <f>"2101400623"</f>
        <v>2101400623</v>
      </c>
      <c r="B175" s="7" t="str">
        <f t="shared" si="11"/>
        <v>2021014</v>
      </c>
      <c r="C175" s="7" t="str">
        <f t="shared" si="10"/>
        <v>006</v>
      </c>
      <c r="D175" s="7" t="str">
        <f>"23"</f>
        <v>23</v>
      </c>
      <c r="E175" s="8">
        <v>0</v>
      </c>
      <c r="F175" s="7" t="s">
        <v>8</v>
      </c>
    </row>
    <row r="176" s="2" customFormat="1" ht="14.1" customHeight="1" spans="1:6">
      <c r="A176" s="7" t="str">
        <f>"2101400624"</f>
        <v>2101400624</v>
      </c>
      <c r="B176" s="7" t="str">
        <f t="shared" si="11"/>
        <v>2021014</v>
      </c>
      <c r="C176" s="7" t="str">
        <f t="shared" si="10"/>
        <v>006</v>
      </c>
      <c r="D176" s="7" t="str">
        <f>"24"</f>
        <v>24</v>
      </c>
      <c r="E176" s="8">
        <v>63.7</v>
      </c>
      <c r="F176" s="7" t="s">
        <v>7</v>
      </c>
    </row>
    <row r="177" s="2" customFormat="1" ht="14.1" customHeight="1" spans="1:6">
      <c r="A177" s="7" t="str">
        <f>"2101400625"</f>
        <v>2101400625</v>
      </c>
      <c r="B177" s="7" t="str">
        <f t="shared" si="11"/>
        <v>2021014</v>
      </c>
      <c r="C177" s="7" t="str">
        <f t="shared" si="10"/>
        <v>006</v>
      </c>
      <c r="D177" s="7" t="str">
        <f>"25"</f>
        <v>25</v>
      </c>
      <c r="E177" s="8">
        <v>67.4</v>
      </c>
      <c r="F177" s="7" t="s">
        <v>7</v>
      </c>
    </row>
    <row r="178" s="2" customFormat="1" ht="14.1" customHeight="1" spans="1:6">
      <c r="A178" s="7" t="str">
        <f>"2101400626"</f>
        <v>2101400626</v>
      </c>
      <c r="B178" s="7" t="str">
        <f t="shared" si="11"/>
        <v>2021014</v>
      </c>
      <c r="C178" s="7" t="str">
        <f t="shared" si="10"/>
        <v>006</v>
      </c>
      <c r="D178" s="7" t="str">
        <f>"26"</f>
        <v>26</v>
      </c>
      <c r="E178" s="8">
        <v>0</v>
      </c>
      <c r="F178" s="7" t="s">
        <v>8</v>
      </c>
    </row>
    <row r="179" s="2" customFormat="1" ht="14.1" customHeight="1" spans="1:6">
      <c r="A179" s="7" t="str">
        <f>"2101400627"</f>
        <v>2101400627</v>
      </c>
      <c r="B179" s="7" t="str">
        <f t="shared" si="11"/>
        <v>2021014</v>
      </c>
      <c r="C179" s="7" t="str">
        <f t="shared" si="10"/>
        <v>006</v>
      </c>
      <c r="D179" s="7" t="str">
        <f>"27"</f>
        <v>27</v>
      </c>
      <c r="E179" s="8">
        <v>0</v>
      </c>
      <c r="F179" s="7" t="s">
        <v>8</v>
      </c>
    </row>
    <row r="180" s="2" customFormat="1" ht="14.1" customHeight="1" spans="1:6">
      <c r="A180" s="7" t="str">
        <f>"2101400628"</f>
        <v>2101400628</v>
      </c>
      <c r="B180" s="7" t="str">
        <f t="shared" si="11"/>
        <v>2021014</v>
      </c>
      <c r="C180" s="7" t="str">
        <f t="shared" si="10"/>
        <v>006</v>
      </c>
      <c r="D180" s="7" t="str">
        <f>"28"</f>
        <v>28</v>
      </c>
      <c r="E180" s="8">
        <v>57.3</v>
      </c>
      <c r="F180" s="7" t="s">
        <v>7</v>
      </c>
    </row>
    <row r="181" s="2" customFormat="1" ht="14.1" customHeight="1" spans="1:6">
      <c r="A181" s="7" t="str">
        <f>"2101400629"</f>
        <v>2101400629</v>
      </c>
      <c r="B181" s="7" t="str">
        <f t="shared" si="11"/>
        <v>2021014</v>
      </c>
      <c r="C181" s="7" t="str">
        <f t="shared" si="10"/>
        <v>006</v>
      </c>
      <c r="D181" s="7" t="str">
        <f>"29"</f>
        <v>29</v>
      </c>
      <c r="E181" s="8">
        <v>60.7</v>
      </c>
      <c r="F181" s="7" t="s">
        <v>7</v>
      </c>
    </row>
    <row r="182" s="2" customFormat="1" ht="14.1" customHeight="1" spans="1:6">
      <c r="A182" s="7" t="str">
        <f>"2101400630"</f>
        <v>2101400630</v>
      </c>
      <c r="B182" s="7" t="str">
        <f t="shared" si="11"/>
        <v>2021014</v>
      </c>
      <c r="C182" s="7" t="str">
        <f t="shared" si="10"/>
        <v>006</v>
      </c>
      <c r="D182" s="7" t="str">
        <f>"30"</f>
        <v>30</v>
      </c>
      <c r="E182" s="8">
        <v>0</v>
      </c>
      <c r="F182" s="7" t="s">
        <v>8</v>
      </c>
    </row>
    <row r="183" s="2" customFormat="1" ht="14.1" customHeight="1" spans="1:6">
      <c r="A183" s="7" t="str">
        <f>"2101400701"</f>
        <v>2101400701</v>
      </c>
      <c r="B183" s="7" t="str">
        <f t="shared" si="11"/>
        <v>2021014</v>
      </c>
      <c r="C183" s="7" t="str">
        <f t="shared" ref="C183:C212" si="12">"007"</f>
        <v>007</v>
      </c>
      <c r="D183" s="7" t="str">
        <f>"01"</f>
        <v>01</v>
      </c>
      <c r="E183" s="8">
        <v>60.7</v>
      </c>
      <c r="F183" s="7" t="s">
        <v>7</v>
      </c>
    </row>
    <row r="184" s="2" customFormat="1" ht="14.1" customHeight="1" spans="1:6">
      <c r="A184" s="7" t="str">
        <f>"2101400702"</f>
        <v>2101400702</v>
      </c>
      <c r="B184" s="7" t="str">
        <f t="shared" si="11"/>
        <v>2021014</v>
      </c>
      <c r="C184" s="7" t="str">
        <f t="shared" si="12"/>
        <v>007</v>
      </c>
      <c r="D184" s="7" t="str">
        <f>"02"</f>
        <v>02</v>
      </c>
      <c r="E184" s="8">
        <v>69.1</v>
      </c>
      <c r="F184" s="7" t="s">
        <v>7</v>
      </c>
    </row>
    <row r="185" s="2" customFormat="1" ht="14.1" customHeight="1" spans="1:6">
      <c r="A185" s="7" t="str">
        <f>"2101400703"</f>
        <v>2101400703</v>
      </c>
      <c r="B185" s="7" t="str">
        <f t="shared" si="11"/>
        <v>2021014</v>
      </c>
      <c r="C185" s="7" t="str">
        <f t="shared" si="12"/>
        <v>007</v>
      </c>
      <c r="D185" s="7" t="str">
        <f>"03"</f>
        <v>03</v>
      </c>
      <c r="E185" s="8">
        <v>0</v>
      </c>
      <c r="F185" s="7" t="s">
        <v>8</v>
      </c>
    </row>
    <row r="186" s="2" customFormat="1" ht="14.1" customHeight="1" spans="1:6">
      <c r="A186" s="7" t="str">
        <f>"2101400704"</f>
        <v>2101400704</v>
      </c>
      <c r="B186" s="7" t="str">
        <f t="shared" si="11"/>
        <v>2021014</v>
      </c>
      <c r="C186" s="7" t="str">
        <f t="shared" si="12"/>
        <v>007</v>
      </c>
      <c r="D186" s="7" t="str">
        <f>"04"</f>
        <v>04</v>
      </c>
      <c r="E186" s="8">
        <v>0</v>
      </c>
      <c r="F186" s="7" t="s">
        <v>8</v>
      </c>
    </row>
    <row r="187" s="2" customFormat="1" ht="14.1" customHeight="1" spans="1:6">
      <c r="A187" s="7" t="str">
        <f>"2101400705"</f>
        <v>2101400705</v>
      </c>
      <c r="B187" s="7" t="str">
        <f t="shared" si="11"/>
        <v>2021014</v>
      </c>
      <c r="C187" s="7" t="str">
        <f t="shared" si="12"/>
        <v>007</v>
      </c>
      <c r="D187" s="7" t="str">
        <f>"05"</f>
        <v>05</v>
      </c>
      <c r="E187" s="8">
        <v>54.8</v>
      </c>
      <c r="F187" s="7" t="s">
        <v>7</v>
      </c>
    </row>
    <row r="188" s="2" customFormat="1" ht="14.1" customHeight="1" spans="1:6">
      <c r="A188" s="7" t="str">
        <f>"2101500706"</f>
        <v>2101500706</v>
      </c>
      <c r="B188" s="7" t="str">
        <f t="shared" ref="B188:B215" si="13">"2021015"</f>
        <v>2021015</v>
      </c>
      <c r="C188" s="7" t="str">
        <f t="shared" si="12"/>
        <v>007</v>
      </c>
      <c r="D188" s="7" t="str">
        <f>"06"</f>
        <v>06</v>
      </c>
      <c r="E188" s="8">
        <v>0</v>
      </c>
      <c r="F188" s="7" t="s">
        <v>8</v>
      </c>
    </row>
    <row r="189" s="2" customFormat="1" ht="14.1" customHeight="1" spans="1:6">
      <c r="A189" s="7" t="str">
        <f>"2101500707"</f>
        <v>2101500707</v>
      </c>
      <c r="B189" s="7" t="str">
        <f t="shared" si="13"/>
        <v>2021015</v>
      </c>
      <c r="C189" s="7" t="str">
        <f t="shared" si="12"/>
        <v>007</v>
      </c>
      <c r="D189" s="7" t="str">
        <f>"07"</f>
        <v>07</v>
      </c>
      <c r="E189" s="8">
        <v>0</v>
      </c>
      <c r="F189" s="7" t="s">
        <v>8</v>
      </c>
    </row>
    <row r="190" s="2" customFormat="1" ht="14.1" customHeight="1" spans="1:6">
      <c r="A190" s="7" t="str">
        <f>"2101500708"</f>
        <v>2101500708</v>
      </c>
      <c r="B190" s="7" t="str">
        <f t="shared" si="13"/>
        <v>2021015</v>
      </c>
      <c r="C190" s="7" t="str">
        <f t="shared" si="12"/>
        <v>007</v>
      </c>
      <c r="D190" s="7" t="str">
        <f>"08"</f>
        <v>08</v>
      </c>
      <c r="E190" s="8">
        <v>69.6</v>
      </c>
      <c r="F190" s="7" t="s">
        <v>7</v>
      </c>
    </row>
    <row r="191" s="2" customFormat="1" ht="14.1" customHeight="1" spans="1:6">
      <c r="A191" s="7" t="str">
        <f>"2101500709"</f>
        <v>2101500709</v>
      </c>
      <c r="B191" s="7" t="str">
        <f t="shared" si="13"/>
        <v>2021015</v>
      </c>
      <c r="C191" s="7" t="str">
        <f t="shared" si="12"/>
        <v>007</v>
      </c>
      <c r="D191" s="7" t="str">
        <f>"09"</f>
        <v>09</v>
      </c>
      <c r="E191" s="8">
        <v>62.8</v>
      </c>
      <c r="F191" s="7" t="s">
        <v>7</v>
      </c>
    </row>
    <row r="192" s="2" customFormat="1" ht="14.1" customHeight="1" spans="1:6">
      <c r="A192" s="7" t="str">
        <f>"2101500710"</f>
        <v>2101500710</v>
      </c>
      <c r="B192" s="7" t="str">
        <f t="shared" si="13"/>
        <v>2021015</v>
      </c>
      <c r="C192" s="7" t="str">
        <f t="shared" si="12"/>
        <v>007</v>
      </c>
      <c r="D192" s="7" t="str">
        <f>"10"</f>
        <v>10</v>
      </c>
      <c r="E192" s="8">
        <v>62.4</v>
      </c>
      <c r="F192" s="7" t="s">
        <v>7</v>
      </c>
    </row>
    <row r="193" s="2" customFormat="1" ht="14.1" customHeight="1" spans="1:6">
      <c r="A193" s="7" t="str">
        <f>"2101500711"</f>
        <v>2101500711</v>
      </c>
      <c r="B193" s="7" t="str">
        <f t="shared" si="13"/>
        <v>2021015</v>
      </c>
      <c r="C193" s="7" t="str">
        <f t="shared" si="12"/>
        <v>007</v>
      </c>
      <c r="D193" s="7" t="str">
        <f>"11"</f>
        <v>11</v>
      </c>
      <c r="E193" s="8">
        <v>63.3</v>
      </c>
      <c r="F193" s="7" t="s">
        <v>7</v>
      </c>
    </row>
    <row r="194" s="2" customFormat="1" ht="14.1" customHeight="1" spans="1:6">
      <c r="A194" s="7" t="str">
        <f>"2101500712"</f>
        <v>2101500712</v>
      </c>
      <c r="B194" s="7" t="str">
        <f t="shared" si="13"/>
        <v>2021015</v>
      </c>
      <c r="C194" s="7" t="str">
        <f t="shared" si="12"/>
        <v>007</v>
      </c>
      <c r="D194" s="7" t="str">
        <f>"12"</f>
        <v>12</v>
      </c>
      <c r="E194" s="8">
        <v>0</v>
      </c>
      <c r="F194" s="7" t="s">
        <v>8</v>
      </c>
    </row>
    <row r="195" s="2" customFormat="1" ht="14.1" customHeight="1" spans="1:6">
      <c r="A195" s="7" t="str">
        <f>"2101500713"</f>
        <v>2101500713</v>
      </c>
      <c r="B195" s="7" t="str">
        <f t="shared" si="13"/>
        <v>2021015</v>
      </c>
      <c r="C195" s="7" t="str">
        <f t="shared" si="12"/>
        <v>007</v>
      </c>
      <c r="D195" s="7" t="str">
        <f>"13"</f>
        <v>13</v>
      </c>
      <c r="E195" s="8">
        <v>0</v>
      </c>
      <c r="F195" s="7" t="s">
        <v>8</v>
      </c>
    </row>
    <row r="196" s="2" customFormat="1" ht="14.1" customHeight="1" spans="1:6">
      <c r="A196" s="7" t="str">
        <f>"2101500714"</f>
        <v>2101500714</v>
      </c>
      <c r="B196" s="7" t="str">
        <f t="shared" si="13"/>
        <v>2021015</v>
      </c>
      <c r="C196" s="7" t="str">
        <f t="shared" si="12"/>
        <v>007</v>
      </c>
      <c r="D196" s="7" t="str">
        <f>"14"</f>
        <v>14</v>
      </c>
      <c r="E196" s="8">
        <v>62.4</v>
      </c>
      <c r="F196" s="7" t="s">
        <v>7</v>
      </c>
    </row>
    <row r="197" s="2" customFormat="1" ht="14.1" customHeight="1" spans="1:6">
      <c r="A197" s="7" t="str">
        <f>"2101500715"</f>
        <v>2101500715</v>
      </c>
      <c r="B197" s="7" t="str">
        <f t="shared" si="13"/>
        <v>2021015</v>
      </c>
      <c r="C197" s="7" t="str">
        <f t="shared" si="12"/>
        <v>007</v>
      </c>
      <c r="D197" s="7" t="str">
        <f>"15"</f>
        <v>15</v>
      </c>
      <c r="E197" s="8">
        <v>62.9</v>
      </c>
      <c r="F197" s="7" t="s">
        <v>7</v>
      </c>
    </row>
    <row r="198" s="2" customFormat="1" ht="14.1" customHeight="1" spans="1:6">
      <c r="A198" s="7" t="str">
        <f>"2101500716"</f>
        <v>2101500716</v>
      </c>
      <c r="B198" s="7" t="str">
        <f t="shared" si="13"/>
        <v>2021015</v>
      </c>
      <c r="C198" s="7" t="str">
        <f t="shared" si="12"/>
        <v>007</v>
      </c>
      <c r="D198" s="7" t="str">
        <f>"16"</f>
        <v>16</v>
      </c>
      <c r="E198" s="8">
        <v>0</v>
      </c>
      <c r="F198" s="7" t="s">
        <v>8</v>
      </c>
    </row>
    <row r="199" s="2" customFormat="1" ht="14.1" customHeight="1" spans="1:6">
      <c r="A199" s="7" t="str">
        <f>"2101500717"</f>
        <v>2101500717</v>
      </c>
      <c r="B199" s="7" t="str">
        <f t="shared" si="13"/>
        <v>2021015</v>
      </c>
      <c r="C199" s="7" t="str">
        <f t="shared" si="12"/>
        <v>007</v>
      </c>
      <c r="D199" s="7" t="str">
        <f>"17"</f>
        <v>17</v>
      </c>
      <c r="E199" s="8">
        <v>0</v>
      </c>
      <c r="F199" s="7" t="s">
        <v>8</v>
      </c>
    </row>
    <row r="200" s="2" customFormat="1" ht="14.1" customHeight="1" spans="1:6">
      <c r="A200" s="7" t="str">
        <f>"2101500718"</f>
        <v>2101500718</v>
      </c>
      <c r="B200" s="7" t="str">
        <f t="shared" si="13"/>
        <v>2021015</v>
      </c>
      <c r="C200" s="7" t="str">
        <f t="shared" si="12"/>
        <v>007</v>
      </c>
      <c r="D200" s="7" t="str">
        <f>"18"</f>
        <v>18</v>
      </c>
      <c r="E200" s="8">
        <v>0</v>
      </c>
      <c r="F200" s="7" t="s">
        <v>8</v>
      </c>
    </row>
    <row r="201" s="2" customFormat="1" ht="14.1" customHeight="1" spans="1:6">
      <c r="A201" s="7" t="str">
        <f>"2101500719"</f>
        <v>2101500719</v>
      </c>
      <c r="B201" s="7" t="str">
        <f t="shared" si="13"/>
        <v>2021015</v>
      </c>
      <c r="C201" s="7" t="str">
        <f t="shared" si="12"/>
        <v>007</v>
      </c>
      <c r="D201" s="7" t="str">
        <f>"19"</f>
        <v>19</v>
      </c>
      <c r="E201" s="8">
        <v>0</v>
      </c>
      <c r="F201" s="7" t="s">
        <v>8</v>
      </c>
    </row>
    <row r="202" s="2" customFormat="1" ht="14.1" customHeight="1" spans="1:6">
      <c r="A202" s="7" t="str">
        <f>"2101500720"</f>
        <v>2101500720</v>
      </c>
      <c r="B202" s="7" t="str">
        <f t="shared" si="13"/>
        <v>2021015</v>
      </c>
      <c r="C202" s="7" t="str">
        <f t="shared" si="12"/>
        <v>007</v>
      </c>
      <c r="D202" s="7" t="str">
        <f>"20"</f>
        <v>20</v>
      </c>
      <c r="E202" s="8">
        <v>64.1</v>
      </c>
      <c r="F202" s="7" t="s">
        <v>7</v>
      </c>
    </row>
    <row r="203" s="2" customFormat="1" ht="14.1" customHeight="1" spans="1:6">
      <c r="A203" s="7" t="str">
        <f>"2101500721"</f>
        <v>2101500721</v>
      </c>
      <c r="B203" s="7" t="str">
        <f t="shared" si="13"/>
        <v>2021015</v>
      </c>
      <c r="C203" s="7" t="str">
        <f t="shared" si="12"/>
        <v>007</v>
      </c>
      <c r="D203" s="7" t="str">
        <f>"21"</f>
        <v>21</v>
      </c>
      <c r="E203" s="8">
        <v>59.4</v>
      </c>
      <c r="F203" s="7" t="s">
        <v>7</v>
      </c>
    </row>
    <row r="204" s="2" customFormat="1" ht="14.1" customHeight="1" spans="1:6">
      <c r="A204" s="7" t="str">
        <f>"2101500722"</f>
        <v>2101500722</v>
      </c>
      <c r="B204" s="7" t="str">
        <f t="shared" si="13"/>
        <v>2021015</v>
      </c>
      <c r="C204" s="7" t="str">
        <f t="shared" si="12"/>
        <v>007</v>
      </c>
      <c r="D204" s="7" t="str">
        <f>"22"</f>
        <v>22</v>
      </c>
      <c r="E204" s="8">
        <v>0</v>
      </c>
      <c r="F204" s="7" t="s">
        <v>8</v>
      </c>
    </row>
    <row r="205" s="2" customFormat="1" ht="14.1" customHeight="1" spans="1:6">
      <c r="A205" s="7" t="str">
        <f>"2101500723"</f>
        <v>2101500723</v>
      </c>
      <c r="B205" s="7" t="str">
        <f t="shared" si="13"/>
        <v>2021015</v>
      </c>
      <c r="C205" s="7" t="str">
        <f t="shared" si="12"/>
        <v>007</v>
      </c>
      <c r="D205" s="7" t="str">
        <f>"23"</f>
        <v>23</v>
      </c>
      <c r="E205" s="8">
        <v>0</v>
      </c>
      <c r="F205" s="7" t="s">
        <v>8</v>
      </c>
    </row>
    <row r="206" s="2" customFormat="1" ht="14.1" customHeight="1" spans="1:6">
      <c r="A206" s="7" t="str">
        <f>"2101500724"</f>
        <v>2101500724</v>
      </c>
      <c r="B206" s="7" t="str">
        <f t="shared" si="13"/>
        <v>2021015</v>
      </c>
      <c r="C206" s="7" t="str">
        <f t="shared" si="12"/>
        <v>007</v>
      </c>
      <c r="D206" s="7" t="str">
        <f>"24"</f>
        <v>24</v>
      </c>
      <c r="E206" s="8">
        <v>66</v>
      </c>
      <c r="F206" s="7" t="s">
        <v>7</v>
      </c>
    </row>
    <row r="207" s="2" customFormat="1" ht="14.1" customHeight="1" spans="1:6">
      <c r="A207" s="7" t="str">
        <f>"2101500725"</f>
        <v>2101500725</v>
      </c>
      <c r="B207" s="7" t="str">
        <f t="shared" si="13"/>
        <v>2021015</v>
      </c>
      <c r="C207" s="7" t="str">
        <f t="shared" si="12"/>
        <v>007</v>
      </c>
      <c r="D207" s="7" t="str">
        <f>"25"</f>
        <v>25</v>
      </c>
      <c r="E207" s="8">
        <v>60.6</v>
      </c>
      <c r="F207" s="7" t="s">
        <v>7</v>
      </c>
    </row>
    <row r="208" s="2" customFormat="1" ht="14.1" customHeight="1" spans="1:6">
      <c r="A208" s="7" t="str">
        <f>"2101500726"</f>
        <v>2101500726</v>
      </c>
      <c r="B208" s="7" t="str">
        <f t="shared" si="13"/>
        <v>2021015</v>
      </c>
      <c r="C208" s="7" t="str">
        <f t="shared" si="12"/>
        <v>007</v>
      </c>
      <c r="D208" s="7" t="str">
        <f>"26"</f>
        <v>26</v>
      </c>
      <c r="E208" s="8">
        <v>0</v>
      </c>
      <c r="F208" s="7" t="s">
        <v>8</v>
      </c>
    </row>
    <row r="209" s="2" customFormat="1" ht="14.1" customHeight="1" spans="1:6">
      <c r="A209" s="7" t="str">
        <f>"2101500727"</f>
        <v>2101500727</v>
      </c>
      <c r="B209" s="7" t="str">
        <f t="shared" si="13"/>
        <v>2021015</v>
      </c>
      <c r="C209" s="7" t="str">
        <f t="shared" si="12"/>
        <v>007</v>
      </c>
      <c r="D209" s="7" t="str">
        <f>"27"</f>
        <v>27</v>
      </c>
      <c r="E209" s="8">
        <v>61.8</v>
      </c>
      <c r="F209" s="7" t="s">
        <v>7</v>
      </c>
    </row>
    <row r="210" s="2" customFormat="1" ht="14.1" customHeight="1" spans="1:6">
      <c r="A210" s="7" t="str">
        <f>"2101500728"</f>
        <v>2101500728</v>
      </c>
      <c r="B210" s="7" t="str">
        <f t="shared" si="13"/>
        <v>2021015</v>
      </c>
      <c r="C210" s="7" t="str">
        <f t="shared" si="12"/>
        <v>007</v>
      </c>
      <c r="D210" s="7" t="str">
        <f>"28"</f>
        <v>28</v>
      </c>
      <c r="E210" s="8">
        <v>0</v>
      </c>
      <c r="F210" s="7" t="s">
        <v>8</v>
      </c>
    </row>
    <row r="211" s="2" customFormat="1" ht="14.1" customHeight="1" spans="1:6">
      <c r="A211" s="7" t="str">
        <f>"2101500729"</f>
        <v>2101500729</v>
      </c>
      <c r="B211" s="7" t="str">
        <f t="shared" si="13"/>
        <v>2021015</v>
      </c>
      <c r="C211" s="7" t="str">
        <f t="shared" si="12"/>
        <v>007</v>
      </c>
      <c r="D211" s="7" t="str">
        <f>"29"</f>
        <v>29</v>
      </c>
      <c r="E211" s="8">
        <v>0</v>
      </c>
      <c r="F211" s="7" t="s">
        <v>8</v>
      </c>
    </row>
    <row r="212" s="2" customFormat="1" ht="14.1" customHeight="1" spans="1:6">
      <c r="A212" s="7" t="str">
        <f>"2101500730"</f>
        <v>2101500730</v>
      </c>
      <c r="B212" s="7" t="str">
        <f t="shared" si="13"/>
        <v>2021015</v>
      </c>
      <c r="C212" s="7" t="str">
        <f t="shared" si="12"/>
        <v>007</v>
      </c>
      <c r="D212" s="7" t="str">
        <f>"30"</f>
        <v>30</v>
      </c>
      <c r="E212" s="8">
        <v>64.4</v>
      </c>
      <c r="F212" s="7" t="s">
        <v>7</v>
      </c>
    </row>
    <row r="213" s="2" customFormat="1" ht="14.1" customHeight="1" spans="1:6">
      <c r="A213" s="7" t="str">
        <f>"2101500801"</f>
        <v>2101500801</v>
      </c>
      <c r="B213" s="7" t="str">
        <f t="shared" si="13"/>
        <v>2021015</v>
      </c>
      <c r="C213" s="7" t="str">
        <f t="shared" ref="C213:C242" si="14">"008"</f>
        <v>008</v>
      </c>
      <c r="D213" s="7" t="str">
        <f>"01"</f>
        <v>01</v>
      </c>
      <c r="E213" s="8">
        <v>69.7</v>
      </c>
      <c r="F213" s="7" t="s">
        <v>7</v>
      </c>
    </row>
    <row r="214" s="2" customFormat="1" ht="14.1" customHeight="1" spans="1:6">
      <c r="A214" s="7" t="str">
        <f>"2101500802"</f>
        <v>2101500802</v>
      </c>
      <c r="B214" s="7" t="str">
        <f t="shared" si="13"/>
        <v>2021015</v>
      </c>
      <c r="C214" s="7" t="str">
        <f t="shared" si="14"/>
        <v>008</v>
      </c>
      <c r="D214" s="7" t="str">
        <f>"02"</f>
        <v>02</v>
      </c>
      <c r="E214" s="8">
        <v>62.2</v>
      </c>
      <c r="F214" s="7" t="s">
        <v>7</v>
      </c>
    </row>
    <row r="215" s="2" customFormat="1" ht="14.1" customHeight="1" spans="1:6">
      <c r="A215" s="7" t="str">
        <f>"2101500803"</f>
        <v>2101500803</v>
      </c>
      <c r="B215" s="7" t="str">
        <f t="shared" si="13"/>
        <v>2021015</v>
      </c>
      <c r="C215" s="7" t="str">
        <f t="shared" si="14"/>
        <v>008</v>
      </c>
      <c r="D215" s="7" t="str">
        <f>"03"</f>
        <v>03</v>
      </c>
      <c r="E215" s="8">
        <v>0</v>
      </c>
      <c r="F215" s="7" t="s">
        <v>8</v>
      </c>
    </row>
    <row r="216" s="2" customFormat="1" ht="14.1" customHeight="1" spans="1:6">
      <c r="A216" s="7" t="str">
        <f>"2101600804"</f>
        <v>2101600804</v>
      </c>
      <c r="B216" s="7" t="str">
        <f t="shared" ref="B216:B279" si="15">"2021016"</f>
        <v>2021016</v>
      </c>
      <c r="C216" s="7" t="str">
        <f t="shared" si="14"/>
        <v>008</v>
      </c>
      <c r="D216" s="7" t="str">
        <f>"04"</f>
        <v>04</v>
      </c>
      <c r="E216" s="8">
        <v>0</v>
      </c>
      <c r="F216" s="7" t="s">
        <v>8</v>
      </c>
    </row>
    <row r="217" s="2" customFormat="1" ht="14.1" customHeight="1" spans="1:6">
      <c r="A217" s="7" t="str">
        <f>"2101600805"</f>
        <v>2101600805</v>
      </c>
      <c r="B217" s="7" t="str">
        <f t="shared" si="15"/>
        <v>2021016</v>
      </c>
      <c r="C217" s="7" t="str">
        <f t="shared" si="14"/>
        <v>008</v>
      </c>
      <c r="D217" s="7" t="str">
        <f>"05"</f>
        <v>05</v>
      </c>
      <c r="E217" s="8">
        <v>0</v>
      </c>
      <c r="F217" s="7" t="s">
        <v>8</v>
      </c>
    </row>
    <row r="218" s="2" customFormat="1" ht="14.1" customHeight="1" spans="1:6">
      <c r="A218" s="7" t="str">
        <f>"2101600806"</f>
        <v>2101600806</v>
      </c>
      <c r="B218" s="7" t="str">
        <f t="shared" si="15"/>
        <v>2021016</v>
      </c>
      <c r="C218" s="7" t="str">
        <f t="shared" si="14"/>
        <v>008</v>
      </c>
      <c r="D218" s="7" t="str">
        <f>"06"</f>
        <v>06</v>
      </c>
      <c r="E218" s="8">
        <v>0</v>
      </c>
      <c r="F218" s="7" t="s">
        <v>8</v>
      </c>
    </row>
    <row r="219" s="2" customFormat="1" ht="14.1" customHeight="1" spans="1:6">
      <c r="A219" s="7" t="str">
        <f>"2101600807"</f>
        <v>2101600807</v>
      </c>
      <c r="B219" s="7" t="str">
        <f t="shared" si="15"/>
        <v>2021016</v>
      </c>
      <c r="C219" s="7" t="str">
        <f t="shared" si="14"/>
        <v>008</v>
      </c>
      <c r="D219" s="7" t="str">
        <f>"07"</f>
        <v>07</v>
      </c>
      <c r="E219" s="8">
        <v>0</v>
      </c>
      <c r="F219" s="7" t="s">
        <v>8</v>
      </c>
    </row>
    <row r="220" s="2" customFormat="1" ht="14.1" customHeight="1" spans="1:6">
      <c r="A220" s="7" t="str">
        <f>"2101600808"</f>
        <v>2101600808</v>
      </c>
      <c r="B220" s="7" t="str">
        <f t="shared" si="15"/>
        <v>2021016</v>
      </c>
      <c r="C220" s="7" t="str">
        <f t="shared" si="14"/>
        <v>008</v>
      </c>
      <c r="D220" s="7" t="str">
        <f>"08"</f>
        <v>08</v>
      </c>
      <c r="E220" s="8">
        <v>0</v>
      </c>
      <c r="F220" s="7" t="s">
        <v>8</v>
      </c>
    </row>
    <row r="221" s="2" customFormat="1" ht="14.1" customHeight="1" spans="1:6">
      <c r="A221" s="7" t="str">
        <f>"2101600809"</f>
        <v>2101600809</v>
      </c>
      <c r="B221" s="7" t="str">
        <f t="shared" si="15"/>
        <v>2021016</v>
      </c>
      <c r="C221" s="7" t="str">
        <f t="shared" si="14"/>
        <v>008</v>
      </c>
      <c r="D221" s="7" t="str">
        <f>"09"</f>
        <v>09</v>
      </c>
      <c r="E221" s="8">
        <v>49.3</v>
      </c>
      <c r="F221" s="7" t="s">
        <v>7</v>
      </c>
    </row>
    <row r="222" s="2" customFormat="1" ht="14.1" customHeight="1" spans="1:6">
      <c r="A222" s="7" t="str">
        <f>"2101600810"</f>
        <v>2101600810</v>
      </c>
      <c r="B222" s="7" t="str">
        <f t="shared" si="15"/>
        <v>2021016</v>
      </c>
      <c r="C222" s="7" t="str">
        <f t="shared" si="14"/>
        <v>008</v>
      </c>
      <c r="D222" s="7" t="str">
        <f>"10"</f>
        <v>10</v>
      </c>
      <c r="E222" s="8">
        <v>0</v>
      </c>
      <c r="F222" s="7" t="s">
        <v>8</v>
      </c>
    </row>
    <row r="223" s="2" customFormat="1" ht="14.1" customHeight="1" spans="1:6">
      <c r="A223" s="7" t="str">
        <f>"2101600811"</f>
        <v>2101600811</v>
      </c>
      <c r="B223" s="7" t="str">
        <f t="shared" si="15"/>
        <v>2021016</v>
      </c>
      <c r="C223" s="7" t="str">
        <f t="shared" si="14"/>
        <v>008</v>
      </c>
      <c r="D223" s="7" t="str">
        <f>"11"</f>
        <v>11</v>
      </c>
      <c r="E223" s="8">
        <v>59.5</v>
      </c>
      <c r="F223" s="7" t="s">
        <v>7</v>
      </c>
    </row>
    <row r="224" s="2" customFormat="1" ht="14.1" customHeight="1" spans="1:6">
      <c r="A224" s="7" t="str">
        <f>"2101600812"</f>
        <v>2101600812</v>
      </c>
      <c r="B224" s="7" t="str">
        <f t="shared" si="15"/>
        <v>2021016</v>
      </c>
      <c r="C224" s="7" t="str">
        <f t="shared" si="14"/>
        <v>008</v>
      </c>
      <c r="D224" s="7" t="str">
        <f>"12"</f>
        <v>12</v>
      </c>
      <c r="E224" s="8">
        <v>59.5</v>
      </c>
      <c r="F224" s="7" t="s">
        <v>7</v>
      </c>
    </row>
    <row r="225" s="2" customFormat="1" ht="14.1" customHeight="1" spans="1:6">
      <c r="A225" s="7" t="str">
        <f>"2101600813"</f>
        <v>2101600813</v>
      </c>
      <c r="B225" s="7" t="str">
        <f t="shared" si="15"/>
        <v>2021016</v>
      </c>
      <c r="C225" s="7" t="str">
        <f t="shared" si="14"/>
        <v>008</v>
      </c>
      <c r="D225" s="7" t="str">
        <f>"13"</f>
        <v>13</v>
      </c>
      <c r="E225" s="8">
        <v>54.8</v>
      </c>
      <c r="F225" s="7" t="s">
        <v>7</v>
      </c>
    </row>
    <row r="226" s="2" customFormat="1" ht="14.1" customHeight="1" spans="1:6">
      <c r="A226" s="7" t="str">
        <f>"2101600814"</f>
        <v>2101600814</v>
      </c>
      <c r="B226" s="7" t="str">
        <f t="shared" si="15"/>
        <v>2021016</v>
      </c>
      <c r="C226" s="7" t="str">
        <f t="shared" si="14"/>
        <v>008</v>
      </c>
      <c r="D226" s="7" t="str">
        <f>"14"</f>
        <v>14</v>
      </c>
      <c r="E226" s="8">
        <v>54.7</v>
      </c>
      <c r="F226" s="7" t="s">
        <v>7</v>
      </c>
    </row>
    <row r="227" s="2" customFormat="1" ht="14.1" customHeight="1" spans="1:6">
      <c r="A227" s="7" t="str">
        <f>"2101600815"</f>
        <v>2101600815</v>
      </c>
      <c r="B227" s="7" t="str">
        <f t="shared" si="15"/>
        <v>2021016</v>
      </c>
      <c r="C227" s="7" t="str">
        <f t="shared" si="14"/>
        <v>008</v>
      </c>
      <c r="D227" s="7" t="str">
        <f>"15"</f>
        <v>15</v>
      </c>
      <c r="E227" s="8">
        <v>0</v>
      </c>
      <c r="F227" s="7" t="s">
        <v>8</v>
      </c>
    </row>
    <row r="228" s="2" customFormat="1" ht="14.1" customHeight="1" spans="1:6">
      <c r="A228" s="7" t="str">
        <f>"2101600816"</f>
        <v>2101600816</v>
      </c>
      <c r="B228" s="7" t="str">
        <f t="shared" si="15"/>
        <v>2021016</v>
      </c>
      <c r="C228" s="7" t="str">
        <f t="shared" si="14"/>
        <v>008</v>
      </c>
      <c r="D228" s="7" t="str">
        <f>"16"</f>
        <v>16</v>
      </c>
      <c r="E228" s="8">
        <v>66.2</v>
      </c>
      <c r="F228" s="7" t="s">
        <v>7</v>
      </c>
    </row>
    <row r="229" s="2" customFormat="1" ht="14.1" customHeight="1" spans="1:6">
      <c r="A229" s="7" t="str">
        <f>"2101600817"</f>
        <v>2101600817</v>
      </c>
      <c r="B229" s="7" t="str">
        <f t="shared" si="15"/>
        <v>2021016</v>
      </c>
      <c r="C229" s="7" t="str">
        <f t="shared" si="14"/>
        <v>008</v>
      </c>
      <c r="D229" s="7" t="str">
        <f>"17"</f>
        <v>17</v>
      </c>
      <c r="E229" s="8">
        <v>60.4</v>
      </c>
      <c r="F229" s="7" t="s">
        <v>7</v>
      </c>
    </row>
    <row r="230" s="2" customFormat="1" ht="14.1" customHeight="1" spans="1:6">
      <c r="A230" s="7" t="str">
        <f>"2101600818"</f>
        <v>2101600818</v>
      </c>
      <c r="B230" s="7" t="str">
        <f t="shared" si="15"/>
        <v>2021016</v>
      </c>
      <c r="C230" s="7" t="str">
        <f t="shared" si="14"/>
        <v>008</v>
      </c>
      <c r="D230" s="7" t="str">
        <f>"18"</f>
        <v>18</v>
      </c>
      <c r="E230" s="8">
        <v>0</v>
      </c>
      <c r="F230" s="7" t="s">
        <v>8</v>
      </c>
    </row>
    <row r="231" s="2" customFormat="1" ht="14.1" customHeight="1" spans="1:6">
      <c r="A231" s="7" t="str">
        <f>"2101600819"</f>
        <v>2101600819</v>
      </c>
      <c r="B231" s="7" t="str">
        <f t="shared" si="15"/>
        <v>2021016</v>
      </c>
      <c r="C231" s="7" t="str">
        <f t="shared" si="14"/>
        <v>008</v>
      </c>
      <c r="D231" s="7" t="str">
        <f>"19"</f>
        <v>19</v>
      </c>
      <c r="E231" s="8">
        <v>62.6</v>
      </c>
      <c r="F231" s="7" t="s">
        <v>7</v>
      </c>
    </row>
    <row r="232" s="2" customFormat="1" ht="14.1" customHeight="1" spans="1:6">
      <c r="A232" s="7" t="str">
        <f>"2101600820"</f>
        <v>2101600820</v>
      </c>
      <c r="B232" s="7" t="str">
        <f t="shared" si="15"/>
        <v>2021016</v>
      </c>
      <c r="C232" s="7" t="str">
        <f t="shared" si="14"/>
        <v>008</v>
      </c>
      <c r="D232" s="7" t="str">
        <f>"20"</f>
        <v>20</v>
      </c>
      <c r="E232" s="8">
        <v>0</v>
      </c>
      <c r="F232" s="7" t="s">
        <v>8</v>
      </c>
    </row>
    <row r="233" s="2" customFormat="1" ht="14.1" customHeight="1" spans="1:6">
      <c r="A233" s="7" t="str">
        <f>"2101600821"</f>
        <v>2101600821</v>
      </c>
      <c r="B233" s="7" t="str">
        <f t="shared" si="15"/>
        <v>2021016</v>
      </c>
      <c r="C233" s="7" t="str">
        <f t="shared" si="14"/>
        <v>008</v>
      </c>
      <c r="D233" s="7" t="str">
        <f>"21"</f>
        <v>21</v>
      </c>
      <c r="E233" s="8">
        <v>60.2</v>
      </c>
      <c r="F233" s="7" t="s">
        <v>7</v>
      </c>
    </row>
    <row r="234" s="2" customFormat="1" ht="14.1" customHeight="1" spans="1:6">
      <c r="A234" s="7" t="str">
        <f>"2101600822"</f>
        <v>2101600822</v>
      </c>
      <c r="B234" s="7" t="str">
        <f t="shared" si="15"/>
        <v>2021016</v>
      </c>
      <c r="C234" s="7" t="str">
        <f t="shared" si="14"/>
        <v>008</v>
      </c>
      <c r="D234" s="7" t="str">
        <f>"22"</f>
        <v>22</v>
      </c>
      <c r="E234" s="8">
        <v>0</v>
      </c>
      <c r="F234" s="7" t="s">
        <v>8</v>
      </c>
    </row>
    <row r="235" s="2" customFormat="1" ht="14.1" customHeight="1" spans="1:6">
      <c r="A235" s="7" t="str">
        <f>"2101600823"</f>
        <v>2101600823</v>
      </c>
      <c r="B235" s="7" t="str">
        <f t="shared" si="15"/>
        <v>2021016</v>
      </c>
      <c r="C235" s="7" t="str">
        <f t="shared" si="14"/>
        <v>008</v>
      </c>
      <c r="D235" s="7" t="str">
        <f>"23"</f>
        <v>23</v>
      </c>
      <c r="E235" s="8">
        <v>0</v>
      </c>
      <c r="F235" s="7" t="s">
        <v>8</v>
      </c>
    </row>
    <row r="236" s="2" customFormat="1" ht="14.1" customHeight="1" spans="1:6">
      <c r="A236" s="7" t="str">
        <f>"2101600824"</f>
        <v>2101600824</v>
      </c>
      <c r="B236" s="7" t="str">
        <f t="shared" si="15"/>
        <v>2021016</v>
      </c>
      <c r="C236" s="7" t="str">
        <f t="shared" si="14"/>
        <v>008</v>
      </c>
      <c r="D236" s="7" t="str">
        <f>"24"</f>
        <v>24</v>
      </c>
      <c r="E236" s="8">
        <v>0</v>
      </c>
      <c r="F236" s="7" t="s">
        <v>8</v>
      </c>
    </row>
    <row r="237" s="2" customFormat="1" ht="14.1" customHeight="1" spans="1:6">
      <c r="A237" s="7" t="str">
        <f>"2101600825"</f>
        <v>2101600825</v>
      </c>
      <c r="B237" s="7" t="str">
        <f t="shared" si="15"/>
        <v>2021016</v>
      </c>
      <c r="C237" s="7" t="str">
        <f t="shared" si="14"/>
        <v>008</v>
      </c>
      <c r="D237" s="7" t="str">
        <f>"25"</f>
        <v>25</v>
      </c>
      <c r="E237" s="8">
        <v>0</v>
      </c>
      <c r="F237" s="7" t="s">
        <v>8</v>
      </c>
    </row>
    <row r="238" s="2" customFormat="1" ht="14.1" customHeight="1" spans="1:6">
      <c r="A238" s="7" t="str">
        <f>"2101600826"</f>
        <v>2101600826</v>
      </c>
      <c r="B238" s="7" t="str">
        <f t="shared" si="15"/>
        <v>2021016</v>
      </c>
      <c r="C238" s="7" t="str">
        <f t="shared" si="14"/>
        <v>008</v>
      </c>
      <c r="D238" s="7" t="str">
        <f>"26"</f>
        <v>26</v>
      </c>
      <c r="E238" s="8">
        <v>61.2</v>
      </c>
      <c r="F238" s="7" t="s">
        <v>7</v>
      </c>
    </row>
    <row r="239" s="2" customFormat="1" ht="14.1" customHeight="1" spans="1:6">
      <c r="A239" s="7" t="str">
        <f>"2101600827"</f>
        <v>2101600827</v>
      </c>
      <c r="B239" s="7" t="str">
        <f t="shared" si="15"/>
        <v>2021016</v>
      </c>
      <c r="C239" s="7" t="str">
        <f t="shared" si="14"/>
        <v>008</v>
      </c>
      <c r="D239" s="7" t="str">
        <f>"27"</f>
        <v>27</v>
      </c>
      <c r="E239" s="8">
        <v>59.8</v>
      </c>
      <c r="F239" s="7" t="s">
        <v>7</v>
      </c>
    </row>
    <row r="240" s="2" customFormat="1" ht="14.1" customHeight="1" spans="1:6">
      <c r="A240" s="7" t="str">
        <f>"2101600828"</f>
        <v>2101600828</v>
      </c>
      <c r="B240" s="7" t="str">
        <f t="shared" si="15"/>
        <v>2021016</v>
      </c>
      <c r="C240" s="7" t="str">
        <f t="shared" si="14"/>
        <v>008</v>
      </c>
      <c r="D240" s="7" t="str">
        <f>"28"</f>
        <v>28</v>
      </c>
      <c r="E240" s="8">
        <v>57.5</v>
      </c>
      <c r="F240" s="7" t="s">
        <v>7</v>
      </c>
    </row>
    <row r="241" s="2" customFormat="1" ht="14.1" customHeight="1" spans="1:6">
      <c r="A241" s="7" t="str">
        <f>"2101600829"</f>
        <v>2101600829</v>
      </c>
      <c r="B241" s="7" t="str">
        <f t="shared" si="15"/>
        <v>2021016</v>
      </c>
      <c r="C241" s="7" t="str">
        <f t="shared" si="14"/>
        <v>008</v>
      </c>
      <c r="D241" s="7" t="str">
        <f>"29"</f>
        <v>29</v>
      </c>
      <c r="E241" s="8">
        <v>52.4</v>
      </c>
      <c r="F241" s="7" t="s">
        <v>7</v>
      </c>
    </row>
    <row r="242" s="2" customFormat="1" ht="14.1" customHeight="1" spans="1:6">
      <c r="A242" s="7" t="str">
        <f>"2101600830"</f>
        <v>2101600830</v>
      </c>
      <c r="B242" s="7" t="str">
        <f t="shared" si="15"/>
        <v>2021016</v>
      </c>
      <c r="C242" s="7" t="str">
        <f t="shared" si="14"/>
        <v>008</v>
      </c>
      <c r="D242" s="7" t="str">
        <f>"30"</f>
        <v>30</v>
      </c>
      <c r="E242" s="8">
        <v>61</v>
      </c>
      <c r="F242" s="7" t="s">
        <v>7</v>
      </c>
    </row>
    <row r="243" s="2" customFormat="1" ht="14.1" customHeight="1" spans="1:6">
      <c r="A243" s="7" t="str">
        <f>"2101600901"</f>
        <v>2101600901</v>
      </c>
      <c r="B243" s="7" t="str">
        <f t="shared" si="15"/>
        <v>2021016</v>
      </c>
      <c r="C243" s="7" t="str">
        <f t="shared" ref="C243:C272" si="16">"009"</f>
        <v>009</v>
      </c>
      <c r="D243" s="7" t="str">
        <f>"01"</f>
        <v>01</v>
      </c>
      <c r="E243" s="8">
        <v>64</v>
      </c>
      <c r="F243" s="7" t="s">
        <v>7</v>
      </c>
    </row>
    <row r="244" s="2" customFormat="1" ht="14.1" customHeight="1" spans="1:6">
      <c r="A244" s="7" t="str">
        <f>"2101600902"</f>
        <v>2101600902</v>
      </c>
      <c r="B244" s="7" t="str">
        <f t="shared" si="15"/>
        <v>2021016</v>
      </c>
      <c r="C244" s="7" t="str">
        <f t="shared" si="16"/>
        <v>009</v>
      </c>
      <c r="D244" s="7" t="str">
        <f>"02"</f>
        <v>02</v>
      </c>
      <c r="E244" s="8">
        <v>0</v>
      </c>
      <c r="F244" s="7" t="s">
        <v>8</v>
      </c>
    </row>
    <row r="245" s="2" customFormat="1" ht="14.1" customHeight="1" spans="1:6">
      <c r="A245" s="7" t="str">
        <f>"2101600903"</f>
        <v>2101600903</v>
      </c>
      <c r="B245" s="7" t="str">
        <f t="shared" si="15"/>
        <v>2021016</v>
      </c>
      <c r="C245" s="7" t="str">
        <f t="shared" si="16"/>
        <v>009</v>
      </c>
      <c r="D245" s="7" t="str">
        <f>"03"</f>
        <v>03</v>
      </c>
      <c r="E245" s="8">
        <v>60.2</v>
      </c>
      <c r="F245" s="7" t="s">
        <v>7</v>
      </c>
    </row>
    <row r="246" s="2" customFormat="1" ht="14.1" customHeight="1" spans="1:6">
      <c r="A246" s="7" t="str">
        <f>"2101600904"</f>
        <v>2101600904</v>
      </c>
      <c r="B246" s="7" t="str">
        <f t="shared" si="15"/>
        <v>2021016</v>
      </c>
      <c r="C246" s="7" t="str">
        <f t="shared" si="16"/>
        <v>009</v>
      </c>
      <c r="D246" s="7" t="str">
        <f>"04"</f>
        <v>04</v>
      </c>
      <c r="E246" s="8">
        <v>64.7</v>
      </c>
      <c r="F246" s="7" t="s">
        <v>7</v>
      </c>
    </row>
    <row r="247" s="2" customFormat="1" ht="14.1" customHeight="1" spans="1:6">
      <c r="A247" s="7" t="str">
        <f>"2101600905"</f>
        <v>2101600905</v>
      </c>
      <c r="B247" s="7" t="str">
        <f t="shared" si="15"/>
        <v>2021016</v>
      </c>
      <c r="C247" s="7" t="str">
        <f t="shared" si="16"/>
        <v>009</v>
      </c>
      <c r="D247" s="7" t="str">
        <f>"05"</f>
        <v>05</v>
      </c>
      <c r="E247" s="8">
        <v>0</v>
      </c>
      <c r="F247" s="7" t="s">
        <v>8</v>
      </c>
    </row>
    <row r="248" s="2" customFormat="1" ht="14.1" customHeight="1" spans="1:6">
      <c r="A248" s="7" t="str">
        <f>"2101600906"</f>
        <v>2101600906</v>
      </c>
      <c r="B248" s="7" t="str">
        <f t="shared" si="15"/>
        <v>2021016</v>
      </c>
      <c r="C248" s="7" t="str">
        <f t="shared" si="16"/>
        <v>009</v>
      </c>
      <c r="D248" s="7" t="str">
        <f>"06"</f>
        <v>06</v>
      </c>
      <c r="E248" s="8">
        <v>52.8</v>
      </c>
      <c r="F248" s="7" t="s">
        <v>7</v>
      </c>
    </row>
    <row r="249" s="2" customFormat="1" ht="14.1" customHeight="1" spans="1:6">
      <c r="A249" s="7" t="str">
        <f>"2101600907"</f>
        <v>2101600907</v>
      </c>
      <c r="B249" s="7" t="str">
        <f t="shared" si="15"/>
        <v>2021016</v>
      </c>
      <c r="C249" s="7" t="str">
        <f t="shared" si="16"/>
        <v>009</v>
      </c>
      <c r="D249" s="7" t="str">
        <f>"07"</f>
        <v>07</v>
      </c>
      <c r="E249" s="8">
        <v>0</v>
      </c>
      <c r="F249" s="7" t="s">
        <v>8</v>
      </c>
    </row>
    <row r="250" s="2" customFormat="1" ht="14.1" customHeight="1" spans="1:6">
      <c r="A250" s="7" t="str">
        <f>"2101600908"</f>
        <v>2101600908</v>
      </c>
      <c r="B250" s="7" t="str">
        <f t="shared" si="15"/>
        <v>2021016</v>
      </c>
      <c r="C250" s="7" t="str">
        <f t="shared" si="16"/>
        <v>009</v>
      </c>
      <c r="D250" s="7" t="str">
        <f>"08"</f>
        <v>08</v>
      </c>
      <c r="E250" s="8">
        <v>61.3</v>
      </c>
      <c r="F250" s="7" t="s">
        <v>7</v>
      </c>
    </row>
    <row r="251" s="2" customFormat="1" ht="14.1" customHeight="1" spans="1:6">
      <c r="A251" s="7" t="str">
        <f>"2101600909"</f>
        <v>2101600909</v>
      </c>
      <c r="B251" s="7" t="str">
        <f t="shared" si="15"/>
        <v>2021016</v>
      </c>
      <c r="C251" s="7" t="str">
        <f t="shared" si="16"/>
        <v>009</v>
      </c>
      <c r="D251" s="7" t="str">
        <f>"09"</f>
        <v>09</v>
      </c>
      <c r="E251" s="8">
        <v>50.6</v>
      </c>
      <c r="F251" s="7" t="s">
        <v>7</v>
      </c>
    </row>
    <row r="252" s="2" customFormat="1" ht="14.1" customHeight="1" spans="1:6">
      <c r="A252" s="7" t="str">
        <f>"2101600910"</f>
        <v>2101600910</v>
      </c>
      <c r="B252" s="7" t="str">
        <f t="shared" si="15"/>
        <v>2021016</v>
      </c>
      <c r="C252" s="7" t="str">
        <f t="shared" si="16"/>
        <v>009</v>
      </c>
      <c r="D252" s="7" t="str">
        <f>"10"</f>
        <v>10</v>
      </c>
      <c r="E252" s="8">
        <v>59.6</v>
      </c>
      <c r="F252" s="7" t="s">
        <v>7</v>
      </c>
    </row>
    <row r="253" s="2" customFormat="1" ht="14.1" customHeight="1" spans="1:6">
      <c r="A253" s="7" t="str">
        <f>"2101600911"</f>
        <v>2101600911</v>
      </c>
      <c r="B253" s="7" t="str">
        <f t="shared" si="15"/>
        <v>2021016</v>
      </c>
      <c r="C253" s="7" t="str">
        <f t="shared" si="16"/>
        <v>009</v>
      </c>
      <c r="D253" s="7" t="str">
        <f>"11"</f>
        <v>11</v>
      </c>
      <c r="E253" s="8">
        <v>50.3</v>
      </c>
      <c r="F253" s="7" t="s">
        <v>7</v>
      </c>
    </row>
    <row r="254" s="2" customFormat="1" ht="14.1" customHeight="1" spans="1:6">
      <c r="A254" s="7" t="str">
        <f>"2101600912"</f>
        <v>2101600912</v>
      </c>
      <c r="B254" s="7" t="str">
        <f t="shared" si="15"/>
        <v>2021016</v>
      </c>
      <c r="C254" s="7" t="str">
        <f t="shared" si="16"/>
        <v>009</v>
      </c>
      <c r="D254" s="7" t="str">
        <f>"12"</f>
        <v>12</v>
      </c>
      <c r="E254" s="8">
        <v>0</v>
      </c>
      <c r="F254" s="7" t="s">
        <v>8</v>
      </c>
    </row>
    <row r="255" s="2" customFormat="1" ht="14.1" customHeight="1" spans="1:6">
      <c r="A255" s="7" t="str">
        <f>"2101600913"</f>
        <v>2101600913</v>
      </c>
      <c r="B255" s="7" t="str">
        <f t="shared" si="15"/>
        <v>2021016</v>
      </c>
      <c r="C255" s="7" t="str">
        <f t="shared" si="16"/>
        <v>009</v>
      </c>
      <c r="D255" s="7" t="str">
        <f>"13"</f>
        <v>13</v>
      </c>
      <c r="E255" s="8">
        <v>47.5</v>
      </c>
      <c r="F255" s="7" t="s">
        <v>7</v>
      </c>
    </row>
    <row r="256" s="2" customFormat="1" ht="14.1" customHeight="1" spans="1:6">
      <c r="A256" s="7" t="str">
        <f>"2101600914"</f>
        <v>2101600914</v>
      </c>
      <c r="B256" s="7" t="str">
        <f t="shared" si="15"/>
        <v>2021016</v>
      </c>
      <c r="C256" s="7" t="str">
        <f t="shared" si="16"/>
        <v>009</v>
      </c>
      <c r="D256" s="7" t="str">
        <f>"14"</f>
        <v>14</v>
      </c>
      <c r="E256" s="8">
        <v>74.3</v>
      </c>
      <c r="F256" s="7" t="s">
        <v>7</v>
      </c>
    </row>
    <row r="257" s="2" customFormat="1" ht="14.1" customHeight="1" spans="1:6">
      <c r="A257" s="7" t="str">
        <f>"2101600915"</f>
        <v>2101600915</v>
      </c>
      <c r="B257" s="7" t="str">
        <f t="shared" si="15"/>
        <v>2021016</v>
      </c>
      <c r="C257" s="7" t="str">
        <f t="shared" si="16"/>
        <v>009</v>
      </c>
      <c r="D257" s="7" t="str">
        <f>"15"</f>
        <v>15</v>
      </c>
      <c r="E257" s="8">
        <v>65.6</v>
      </c>
      <c r="F257" s="7" t="s">
        <v>7</v>
      </c>
    </row>
    <row r="258" s="2" customFormat="1" ht="14.1" customHeight="1" spans="1:6">
      <c r="A258" s="7" t="str">
        <f>"2101600916"</f>
        <v>2101600916</v>
      </c>
      <c r="B258" s="7" t="str">
        <f t="shared" si="15"/>
        <v>2021016</v>
      </c>
      <c r="C258" s="7" t="str">
        <f t="shared" si="16"/>
        <v>009</v>
      </c>
      <c r="D258" s="7" t="str">
        <f>"16"</f>
        <v>16</v>
      </c>
      <c r="E258" s="8">
        <v>0</v>
      </c>
      <c r="F258" s="7" t="s">
        <v>8</v>
      </c>
    </row>
    <row r="259" s="2" customFormat="1" ht="14.1" customHeight="1" spans="1:6">
      <c r="A259" s="7" t="str">
        <f>"2101600917"</f>
        <v>2101600917</v>
      </c>
      <c r="B259" s="7" t="str">
        <f t="shared" si="15"/>
        <v>2021016</v>
      </c>
      <c r="C259" s="7" t="str">
        <f t="shared" si="16"/>
        <v>009</v>
      </c>
      <c r="D259" s="7" t="str">
        <f>"17"</f>
        <v>17</v>
      </c>
      <c r="E259" s="8">
        <v>0</v>
      </c>
      <c r="F259" s="7" t="s">
        <v>8</v>
      </c>
    </row>
    <row r="260" s="2" customFormat="1" ht="14.1" customHeight="1" spans="1:6">
      <c r="A260" s="7" t="str">
        <f>"2101600918"</f>
        <v>2101600918</v>
      </c>
      <c r="B260" s="7" t="str">
        <f t="shared" si="15"/>
        <v>2021016</v>
      </c>
      <c r="C260" s="7" t="str">
        <f t="shared" si="16"/>
        <v>009</v>
      </c>
      <c r="D260" s="7" t="str">
        <f>"18"</f>
        <v>18</v>
      </c>
      <c r="E260" s="8">
        <v>36.8</v>
      </c>
      <c r="F260" s="7" t="s">
        <v>7</v>
      </c>
    </row>
    <row r="261" s="2" customFormat="1" ht="14.1" customHeight="1" spans="1:6">
      <c r="A261" s="7" t="str">
        <f>"2101600919"</f>
        <v>2101600919</v>
      </c>
      <c r="B261" s="7" t="str">
        <f t="shared" si="15"/>
        <v>2021016</v>
      </c>
      <c r="C261" s="7" t="str">
        <f t="shared" si="16"/>
        <v>009</v>
      </c>
      <c r="D261" s="7" t="str">
        <f>"19"</f>
        <v>19</v>
      </c>
      <c r="E261" s="8">
        <v>0</v>
      </c>
      <c r="F261" s="7" t="s">
        <v>8</v>
      </c>
    </row>
    <row r="262" s="2" customFormat="1" ht="14.1" customHeight="1" spans="1:6">
      <c r="A262" s="7" t="str">
        <f>"2101600920"</f>
        <v>2101600920</v>
      </c>
      <c r="B262" s="7" t="str">
        <f t="shared" si="15"/>
        <v>2021016</v>
      </c>
      <c r="C262" s="7" t="str">
        <f t="shared" si="16"/>
        <v>009</v>
      </c>
      <c r="D262" s="7" t="str">
        <f>"20"</f>
        <v>20</v>
      </c>
      <c r="E262" s="8">
        <v>64.3</v>
      </c>
      <c r="F262" s="7" t="s">
        <v>7</v>
      </c>
    </row>
    <row r="263" s="2" customFormat="1" ht="14.1" customHeight="1" spans="1:6">
      <c r="A263" s="7" t="str">
        <f>"2101600921"</f>
        <v>2101600921</v>
      </c>
      <c r="B263" s="7" t="str">
        <f t="shared" si="15"/>
        <v>2021016</v>
      </c>
      <c r="C263" s="7" t="str">
        <f t="shared" si="16"/>
        <v>009</v>
      </c>
      <c r="D263" s="7" t="str">
        <f>"21"</f>
        <v>21</v>
      </c>
      <c r="E263" s="8">
        <v>51</v>
      </c>
      <c r="F263" s="7" t="s">
        <v>7</v>
      </c>
    </row>
    <row r="264" s="2" customFormat="1" ht="14.1" customHeight="1" spans="1:6">
      <c r="A264" s="7" t="str">
        <f>"2101600922"</f>
        <v>2101600922</v>
      </c>
      <c r="B264" s="7" t="str">
        <f t="shared" si="15"/>
        <v>2021016</v>
      </c>
      <c r="C264" s="7" t="str">
        <f t="shared" si="16"/>
        <v>009</v>
      </c>
      <c r="D264" s="7" t="str">
        <f>"22"</f>
        <v>22</v>
      </c>
      <c r="E264" s="8">
        <v>62</v>
      </c>
      <c r="F264" s="7" t="s">
        <v>7</v>
      </c>
    </row>
    <row r="265" s="2" customFormat="1" ht="14.1" customHeight="1" spans="1:6">
      <c r="A265" s="7" t="str">
        <f>"2101600923"</f>
        <v>2101600923</v>
      </c>
      <c r="B265" s="7" t="str">
        <f t="shared" si="15"/>
        <v>2021016</v>
      </c>
      <c r="C265" s="7" t="str">
        <f t="shared" si="16"/>
        <v>009</v>
      </c>
      <c r="D265" s="7" t="str">
        <f>"23"</f>
        <v>23</v>
      </c>
      <c r="E265" s="8">
        <v>51.3</v>
      </c>
      <c r="F265" s="7" t="s">
        <v>7</v>
      </c>
    </row>
    <row r="266" s="2" customFormat="1" ht="14.1" customHeight="1" spans="1:6">
      <c r="A266" s="7" t="str">
        <f>"2101600924"</f>
        <v>2101600924</v>
      </c>
      <c r="B266" s="7" t="str">
        <f t="shared" si="15"/>
        <v>2021016</v>
      </c>
      <c r="C266" s="7" t="str">
        <f t="shared" si="16"/>
        <v>009</v>
      </c>
      <c r="D266" s="7" t="str">
        <f>"24"</f>
        <v>24</v>
      </c>
      <c r="E266" s="8">
        <v>0</v>
      </c>
      <c r="F266" s="7" t="s">
        <v>8</v>
      </c>
    </row>
    <row r="267" s="2" customFormat="1" ht="14.1" customHeight="1" spans="1:6">
      <c r="A267" s="7" t="str">
        <f>"2101600925"</f>
        <v>2101600925</v>
      </c>
      <c r="B267" s="7" t="str">
        <f t="shared" si="15"/>
        <v>2021016</v>
      </c>
      <c r="C267" s="7" t="str">
        <f t="shared" si="16"/>
        <v>009</v>
      </c>
      <c r="D267" s="7" t="str">
        <f>"25"</f>
        <v>25</v>
      </c>
      <c r="E267" s="8">
        <v>55.6</v>
      </c>
      <c r="F267" s="7" t="s">
        <v>7</v>
      </c>
    </row>
    <row r="268" s="2" customFormat="1" ht="14.1" customHeight="1" spans="1:6">
      <c r="A268" s="7" t="str">
        <f>"2101600926"</f>
        <v>2101600926</v>
      </c>
      <c r="B268" s="7" t="str">
        <f t="shared" si="15"/>
        <v>2021016</v>
      </c>
      <c r="C268" s="7" t="str">
        <f t="shared" si="16"/>
        <v>009</v>
      </c>
      <c r="D268" s="7" t="str">
        <f>"26"</f>
        <v>26</v>
      </c>
      <c r="E268" s="8">
        <v>57.6</v>
      </c>
      <c r="F268" s="7" t="s">
        <v>7</v>
      </c>
    </row>
    <row r="269" s="2" customFormat="1" ht="14.1" customHeight="1" spans="1:6">
      <c r="A269" s="7" t="str">
        <f>"2101600927"</f>
        <v>2101600927</v>
      </c>
      <c r="B269" s="7" t="str">
        <f t="shared" si="15"/>
        <v>2021016</v>
      </c>
      <c r="C269" s="7" t="str">
        <f t="shared" si="16"/>
        <v>009</v>
      </c>
      <c r="D269" s="7" t="str">
        <f>"27"</f>
        <v>27</v>
      </c>
      <c r="E269" s="8">
        <v>64.4</v>
      </c>
      <c r="F269" s="7" t="s">
        <v>7</v>
      </c>
    </row>
    <row r="270" s="2" customFormat="1" ht="14.1" customHeight="1" spans="1:6">
      <c r="A270" s="7" t="str">
        <f>"2101600928"</f>
        <v>2101600928</v>
      </c>
      <c r="B270" s="7" t="str">
        <f t="shared" si="15"/>
        <v>2021016</v>
      </c>
      <c r="C270" s="7" t="str">
        <f t="shared" si="16"/>
        <v>009</v>
      </c>
      <c r="D270" s="7" t="str">
        <f>"28"</f>
        <v>28</v>
      </c>
      <c r="E270" s="8">
        <v>68.4</v>
      </c>
      <c r="F270" s="7" t="s">
        <v>7</v>
      </c>
    </row>
    <row r="271" s="2" customFormat="1" ht="14.1" customHeight="1" spans="1:6">
      <c r="A271" s="7" t="str">
        <f>"2101600929"</f>
        <v>2101600929</v>
      </c>
      <c r="B271" s="7" t="str">
        <f t="shared" si="15"/>
        <v>2021016</v>
      </c>
      <c r="C271" s="7" t="str">
        <f t="shared" si="16"/>
        <v>009</v>
      </c>
      <c r="D271" s="7" t="str">
        <f>"29"</f>
        <v>29</v>
      </c>
      <c r="E271" s="8">
        <v>0</v>
      </c>
      <c r="F271" s="7" t="s">
        <v>8</v>
      </c>
    </row>
    <row r="272" s="2" customFormat="1" ht="14.1" customHeight="1" spans="1:6">
      <c r="A272" s="7" t="str">
        <f>"2101600930"</f>
        <v>2101600930</v>
      </c>
      <c r="B272" s="7" t="str">
        <f t="shared" si="15"/>
        <v>2021016</v>
      </c>
      <c r="C272" s="7" t="str">
        <f t="shared" si="16"/>
        <v>009</v>
      </c>
      <c r="D272" s="7" t="str">
        <f>"30"</f>
        <v>30</v>
      </c>
      <c r="E272" s="8">
        <v>66.8</v>
      </c>
      <c r="F272" s="7" t="s">
        <v>7</v>
      </c>
    </row>
    <row r="273" s="2" customFormat="1" ht="14.1" customHeight="1" spans="1:6">
      <c r="A273" s="7" t="str">
        <f>"2101601001"</f>
        <v>2101601001</v>
      </c>
      <c r="B273" s="7" t="str">
        <f t="shared" si="15"/>
        <v>2021016</v>
      </c>
      <c r="C273" s="7" t="str">
        <f t="shared" ref="C273:C302" si="17">"010"</f>
        <v>010</v>
      </c>
      <c r="D273" s="7" t="str">
        <f>"01"</f>
        <v>01</v>
      </c>
      <c r="E273" s="8">
        <v>0</v>
      </c>
      <c r="F273" s="7" t="s">
        <v>8</v>
      </c>
    </row>
    <row r="274" s="2" customFormat="1" ht="14.1" customHeight="1" spans="1:6">
      <c r="A274" s="7" t="str">
        <f>"2101601002"</f>
        <v>2101601002</v>
      </c>
      <c r="B274" s="7" t="str">
        <f t="shared" si="15"/>
        <v>2021016</v>
      </c>
      <c r="C274" s="7" t="str">
        <f t="shared" si="17"/>
        <v>010</v>
      </c>
      <c r="D274" s="7" t="str">
        <f>"02"</f>
        <v>02</v>
      </c>
      <c r="E274" s="8">
        <v>52.5</v>
      </c>
      <c r="F274" s="7" t="s">
        <v>7</v>
      </c>
    </row>
    <row r="275" s="2" customFormat="1" ht="14.1" customHeight="1" spans="1:6">
      <c r="A275" s="7" t="str">
        <f>"2101601003"</f>
        <v>2101601003</v>
      </c>
      <c r="B275" s="7" t="str">
        <f t="shared" si="15"/>
        <v>2021016</v>
      </c>
      <c r="C275" s="7" t="str">
        <f t="shared" si="17"/>
        <v>010</v>
      </c>
      <c r="D275" s="7" t="str">
        <f>"03"</f>
        <v>03</v>
      </c>
      <c r="E275" s="8">
        <v>48.4</v>
      </c>
      <c r="F275" s="7" t="s">
        <v>7</v>
      </c>
    </row>
    <row r="276" s="2" customFormat="1" ht="14.1" customHeight="1" spans="1:6">
      <c r="A276" s="7" t="str">
        <f>"2101601004"</f>
        <v>2101601004</v>
      </c>
      <c r="B276" s="7" t="str">
        <f t="shared" si="15"/>
        <v>2021016</v>
      </c>
      <c r="C276" s="7" t="str">
        <f t="shared" si="17"/>
        <v>010</v>
      </c>
      <c r="D276" s="7" t="str">
        <f>"04"</f>
        <v>04</v>
      </c>
      <c r="E276" s="8">
        <v>0</v>
      </c>
      <c r="F276" s="7" t="s">
        <v>8</v>
      </c>
    </row>
    <row r="277" s="2" customFormat="1" ht="14.1" customHeight="1" spans="1:6">
      <c r="A277" s="7" t="str">
        <f>"2101601005"</f>
        <v>2101601005</v>
      </c>
      <c r="B277" s="7" t="str">
        <f t="shared" si="15"/>
        <v>2021016</v>
      </c>
      <c r="C277" s="7" t="str">
        <f t="shared" si="17"/>
        <v>010</v>
      </c>
      <c r="D277" s="7" t="str">
        <f>"05"</f>
        <v>05</v>
      </c>
      <c r="E277" s="8">
        <v>46.2</v>
      </c>
      <c r="F277" s="7" t="s">
        <v>7</v>
      </c>
    </row>
    <row r="278" s="2" customFormat="1" ht="14.1" customHeight="1" spans="1:6">
      <c r="A278" s="7" t="str">
        <f>"2101601006"</f>
        <v>2101601006</v>
      </c>
      <c r="B278" s="7" t="str">
        <f t="shared" si="15"/>
        <v>2021016</v>
      </c>
      <c r="C278" s="7" t="str">
        <f t="shared" si="17"/>
        <v>010</v>
      </c>
      <c r="D278" s="7" t="str">
        <f>"06"</f>
        <v>06</v>
      </c>
      <c r="E278" s="8">
        <v>54.6</v>
      </c>
      <c r="F278" s="7" t="s">
        <v>7</v>
      </c>
    </row>
    <row r="279" s="2" customFormat="1" ht="14.1" customHeight="1" spans="1:6">
      <c r="A279" s="7" t="str">
        <f>"2101601007"</f>
        <v>2101601007</v>
      </c>
      <c r="B279" s="7" t="str">
        <f t="shared" si="15"/>
        <v>2021016</v>
      </c>
      <c r="C279" s="7" t="str">
        <f t="shared" si="17"/>
        <v>010</v>
      </c>
      <c r="D279" s="7" t="str">
        <f>"07"</f>
        <v>07</v>
      </c>
      <c r="E279" s="8">
        <v>0</v>
      </c>
      <c r="F279" s="7" t="s">
        <v>8</v>
      </c>
    </row>
    <row r="280" s="2" customFormat="1" ht="14.1" customHeight="1" spans="1:6">
      <c r="A280" s="7" t="str">
        <f>"2101601008"</f>
        <v>2101601008</v>
      </c>
      <c r="B280" s="7" t="str">
        <f t="shared" ref="B280:B343" si="18">"2021016"</f>
        <v>2021016</v>
      </c>
      <c r="C280" s="7" t="str">
        <f t="shared" si="17"/>
        <v>010</v>
      </c>
      <c r="D280" s="7" t="str">
        <f>"08"</f>
        <v>08</v>
      </c>
      <c r="E280" s="8">
        <v>50.4</v>
      </c>
      <c r="F280" s="7" t="s">
        <v>7</v>
      </c>
    </row>
    <row r="281" s="2" customFormat="1" ht="14.1" customHeight="1" spans="1:6">
      <c r="A281" s="7" t="str">
        <f>"2101601009"</f>
        <v>2101601009</v>
      </c>
      <c r="B281" s="7" t="str">
        <f t="shared" si="18"/>
        <v>2021016</v>
      </c>
      <c r="C281" s="7" t="str">
        <f t="shared" si="17"/>
        <v>010</v>
      </c>
      <c r="D281" s="7" t="str">
        <f>"09"</f>
        <v>09</v>
      </c>
      <c r="E281" s="8">
        <v>61.5</v>
      </c>
      <c r="F281" s="7" t="s">
        <v>7</v>
      </c>
    </row>
    <row r="282" s="2" customFormat="1" ht="14.1" customHeight="1" spans="1:6">
      <c r="A282" s="7" t="str">
        <f>"2101601010"</f>
        <v>2101601010</v>
      </c>
      <c r="B282" s="7" t="str">
        <f t="shared" si="18"/>
        <v>2021016</v>
      </c>
      <c r="C282" s="7" t="str">
        <f t="shared" si="17"/>
        <v>010</v>
      </c>
      <c r="D282" s="7" t="str">
        <f>"10"</f>
        <v>10</v>
      </c>
      <c r="E282" s="8">
        <v>54.8</v>
      </c>
      <c r="F282" s="7" t="s">
        <v>7</v>
      </c>
    </row>
    <row r="283" s="2" customFormat="1" ht="14.1" customHeight="1" spans="1:6">
      <c r="A283" s="7" t="str">
        <f>"2101601011"</f>
        <v>2101601011</v>
      </c>
      <c r="B283" s="7" t="str">
        <f t="shared" si="18"/>
        <v>2021016</v>
      </c>
      <c r="C283" s="7" t="str">
        <f t="shared" si="17"/>
        <v>010</v>
      </c>
      <c r="D283" s="7" t="str">
        <f>"11"</f>
        <v>11</v>
      </c>
      <c r="E283" s="8">
        <v>0</v>
      </c>
      <c r="F283" s="7" t="s">
        <v>8</v>
      </c>
    </row>
    <row r="284" s="2" customFormat="1" ht="14.1" customHeight="1" spans="1:6">
      <c r="A284" s="7" t="str">
        <f>"2101601012"</f>
        <v>2101601012</v>
      </c>
      <c r="B284" s="7" t="str">
        <f t="shared" si="18"/>
        <v>2021016</v>
      </c>
      <c r="C284" s="7" t="str">
        <f t="shared" si="17"/>
        <v>010</v>
      </c>
      <c r="D284" s="7" t="str">
        <f>"12"</f>
        <v>12</v>
      </c>
      <c r="E284" s="8">
        <v>59.1</v>
      </c>
      <c r="F284" s="7" t="s">
        <v>7</v>
      </c>
    </row>
    <row r="285" s="2" customFormat="1" ht="14.1" customHeight="1" spans="1:6">
      <c r="A285" s="7" t="str">
        <f>"2101601013"</f>
        <v>2101601013</v>
      </c>
      <c r="B285" s="7" t="str">
        <f t="shared" si="18"/>
        <v>2021016</v>
      </c>
      <c r="C285" s="7" t="str">
        <f t="shared" si="17"/>
        <v>010</v>
      </c>
      <c r="D285" s="7" t="str">
        <f>"13"</f>
        <v>13</v>
      </c>
      <c r="E285" s="8">
        <v>62.4</v>
      </c>
      <c r="F285" s="7" t="s">
        <v>7</v>
      </c>
    </row>
    <row r="286" s="2" customFormat="1" ht="14.1" customHeight="1" spans="1:6">
      <c r="A286" s="7" t="str">
        <f>"2101601014"</f>
        <v>2101601014</v>
      </c>
      <c r="B286" s="7" t="str">
        <f t="shared" si="18"/>
        <v>2021016</v>
      </c>
      <c r="C286" s="7" t="str">
        <f t="shared" si="17"/>
        <v>010</v>
      </c>
      <c r="D286" s="7" t="str">
        <f>"14"</f>
        <v>14</v>
      </c>
      <c r="E286" s="8">
        <v>0</v>
      </c>
      <c r="F286" s="7" t="s">
        <v>8</v>
      </c>
    </row>
    <row r="287" s="2" customFormat="1" ht="14.1" customHeight="1" spans="1:6">
      <c r="A287" s="7" t="str">
        <f>"2101601015"</f>
        <v>2101601015</v>
      </c>
      <c r="B287" s="7" t="str">
        <f t="shared" si="18"/>
        <v>2021016</v>
      </c>
      <c r="C287" s="7" t="str">
        <f t="shared" si="17"/>
        <v>010</v>
      </c>
      <c r="D287" s="7" t="str">
        <f>"15"</f>
        <v>15</v>
      </c>
      <c r="E287" s="8">
        <v>0</v>
      </c>
      <c r="F287" s="7" t="s">
        <v>8</v>
      </c>
    </row>
    <row r="288" s="2" customFormat="1" ht="14.1" customHeight="1" spans="1:6">
      <c r="A288" s="7" t="str">
        <f>"2101601016"</f>
        <v>2101601016</v>
      </c>
      <c r="B288" s="7" t="str">
        <f t="shared" si="18"/>
        <v>2021016</v>
      </c>
      <c r="C288" s="7" t="str">
        <f t="shared" si="17"/>
        <v>010</v>
      </c>
      <c r="D288" s="7" t="str">
        <f>"16"</f>
        <v>16</v>
      </c>
      <c r="E288" s="8">
        <v>0</v>
      </c>
      <c r="F288" s="7" t="s">
        <v>8</v>
      </c>
    </row>
    <row r="289" s="2" customFormat="1" ht="14.1" customHeight="1" spans="1:6">
      <c r="A289" s="7" t="str">
        <f>"2101601017"</f>
        <v>2101601017</v>
      </c>
      <c r="B289" s="7" t="str">
        <f t="shared" si="18"/>
        <v>2021016</v>
      </c>
      <c r="C289" s="7" t="str">
        <f t="shared" si="17"/>
        <v>010</v>
      </c>
      <c r="D289" s="7" t="str">
        <f>"17"</f>
        <v>17</v>
      </c>
      <c r="E289" s="8">
        <v>0</v>
      </c>
      <c r="F289" s="7" t="s">
        <v>8</v>
      </c>
    </row>
    <row r="290" s="2" customFormat="1" ht="14.1" customHeight="1" spans="1:6">
      <c r="A290" s="7" t="str">
        <f>"2101601018"</f>
        <v>2101601018</v>
      </c>
      <c r="B290" s="7" t="str">
        <f t="shared" si="18"/>
        <v>2021016</v>
      </c>
      <c r="C290" s="7" t="str">
        <f t="shared" si="17"/>
        <v>010</v>
      </c>
      <c r="D290" s="7" t="str">
        <f>"18"</f>
        <v>18</v>
      </c>
      <c r="E290" s="8">
        <v>0</v>
      </c>
      <c r="F290" s="7" t="s">
        <v>8</v>
      </c>
    </row>
    <row r="291" s="2" customFormat="1" ht="14.1" customHeight="1" spans="1:6">
      <c r="A291" s="7" t="str">
        <f>"2101601019"</f>
        <v>2101601019</v>
      </c>
      <c r="B291" s="7" t="str">
        <f t="shared" si="18"/>
        <v>2021016</v>
      </c>
      <c r="C291" s="7" t="str">
        <f t="shared" si="17"/>
        <v>010</v>
      </c>
      <c r="D291" s="7" t="str">
        <f>"19"</f>
        <v>19</v>
      </c>
      <c r="E291" s="8">
        <v>57.3</v>
      </c>
      <c r="F291" s="7" t="s">
        <v>7</v>
      </c>
    </row>
    <row r="292" s="2" customFormat="1" ht="14.1" customHeight="1" spans="1:6">
      <c r="A292" s="7" t="str">
        <f>"2101601020"</f>
        <v>2101601020</v>
      </c>
      <c r="B292" s="7" t="str">
        <f t="shared" si="18"/>
        <v>2021016</v>
      </c>
      <c r="C292" s="7" t="str">
        <f t="shared" si="17"/>
        <v>010</v>
      </c>
      <c r="D292" s="7" t="str">
        <f>"20"</f>
        <v>20</v>
      </c>
      <c r="E292" s="8">
        <v>67.1</v>
      </c>
      <c r="F292" s="7" t="s">
        <v>7</v>
      </c>
    </row>
    <row r="293" s="2" customFormat="1" ht="14.1" customHeight="1" spans="1:6">
      <c r="A293" s="7" t="str">
        <f>"2101601021"</f>
        <v>2101601021</v>
      </c>
      <c r="B293" s="7" t="str">
        <f t="shared" si="18"/>
        <v>2021016</v>
      </c>
      <c r="C293" s="7" t="str">
        <f t="shared" si="17"/>
        <v>010</v>
      </c>
      <c r="D293" s="7" t="str">
        <f>"21"</f>
        <v>21</v>
      </c>
      <c r="E293" s="8">
        <v>62</v>
      </c>
      <c r="F293" s="7" t="s">
        <v>7</v>
      </c>
    </row>
    <row r="294" s="2" customFormat="1" ht="14.1" customHeight="1" spans="1:6">
      <c r="A294" s="7" t="str">
        <f>"2101601022"</f>
        <v>2101601022</v>
      </c>
      <c r="B294" s="7" t="str">
        <f t="shared" si="18"/>
        <v>2021016</v>
      </c>
      <c r="C294" s="7" t="str">
        <f t="shared" si="17"/>
        <v>010</v>
      </c>
      <c r="D294" s="7" t="str">
        <f>"22"</f>
        <v>22</v>
      </c>
      <c r="E294" s="8">
        <v>0</v>
      </c>
      <c r="F294" s="7" t="s">
        <v>8</v>
      </c>
    </row>
    <row r="295" s="2" customFormat="1" ht="14.1" customHeight="1" spans="1:6">
      <c r="A295" s="7" t="str">
        <f>"2101601023"</f>
        <v>2101601023</v>
      </c>
      <c r="B295" s="7" t="str">
        <f t="shared" si="18"/>
        <v>2021016</v>
      </c>
      <c r="C295" s="7" t="str">
        <f t="shared" si="17"/>
        <v>010</v>
      </c>
      <c r="D295" s="7" t="str">
        <f>"23"</f>
        <v>23</v>
      </c>
      <c r="E295" s="8">
        <v>0</v>
      </c>
      <c r="F295" s="7" t="s">
        <v>8</v>
      </c>
    </row>
    <row r="296" s="2" customFormat="1" ht="14.1" customHeight="1" spans="1:6">
      <c r="A296" s="7" t="str">
        <f>"2101601024"</f>
        <v>2101601024</v>
      </c>
      <c r="B296" s="7" t="str">
        <f t="shared" si="18"/>
        <v>2021016</v>
      </c>
      <c r="C296" s="7" t="str">
        <f t="shared" si="17"/>
        <v>010</v>
      </c>
      <c r="D296" s="7" t="str">
        <f>"24"</f>
        <v>24</v>
      </c>
      <c r="E296" s="8">
        <v>70.7</v>
      </c>
      <c r="F296" s="7" t="s">
        <v>7</v>
      </c>
    </row>
    <row r="297" s="2" customFormat="1" ht="14.1" customHeight="1" spans="1:6">
      <c r="A297" s="7" t="str">
        <f>"2101601025"</f>
        <v>2101601025</v>
      </c>
      <c r="B297" s="7" t="str">
        <f t="shared" si="18"/>
        <v>2021016</v>
      </c>
      <c r="C297" s="7" t="str">
        <f t="shared" si="17"/>
        <v>010</v>
      </c>
      <c r="D297" s="7" t="str">
        <f>"25"</f>
        <v>25</v>
      </c>
      <c r="E297" s="8">
        <v>52.7</v>
      </c>
      <c r="F297" s="7" t="s">
        <v>7</v>
      </c>
    </row>
    <row r="298" s="2" customFormat="1" ht="14.1" customHeight="1" spans="1:6">
      <c r="A298" s="7" t="str">
        <f>"2101601026"</f>
        <v>2101601026</v>
      </c>
      <c r="B298" s="7" t="str">
        <f t="shared" si="18"/>
        <v>2021016</v>
      </c>
      <c r="C298" s="7" t="str">
        <f t="shared" si="17"/>
        <v>010</v>
      </c>
      <c r="D298" s="7" t="str">
        <f>"26"</f>
        <v>26</v>
      </c>
      <c r="E298" s="8">
        <v>0</v>
      </c>
      <c r="F298" s="7" t="s">
        <v>8</v>
      </c>
    </row>
    <row r="299" s="2" customFormat="1" ht="14.1" customHeight="1" spans="1:6">
      <c r="A299" s="7" t="str">
        <f>"2101601027"</f>
        <v>2101601027</v>
      </c>
      <c r="B299" s="7" t="str">
        <f t="shared" si="18"/>
        <v>2021016</v>
      </c>
      <c r="C299" s="7" t="str">
        <f t="shared" si="17"/>
        <v>010</v>
      </c>
      <c r="D299" s="7" t="str">
        <f>"27"</f>
        <v>27</v>
      </c>
      <c r="E299" s="8">
        <v>0</v>
      </c>
      <c r="F299" s="7" t="s">
        <v>8</v>
      </c>
    </row>
    <row r="300" s="2" customFormat="1" ht="14.1" customHeight="1" spans="1:6">
      <c r="A300" s="7" t="str">
        <f>"2101601028"</f>
        <v>2101601028</v>
      </c>
      <c r="B300" s="7" t="str">
        <f t="shared" si="18"/>
        <v>2021016</v>
      </c>
      <c r="C300" s="7" t="str">
        <f t="shared" si="17"/>
        <v>010</v>
      </c>
      <c r="D300" s="7" t="str">
        <f>"28"</f>
        <v>28</v>
      </c>
      <c r="E300" s="8">
        <v>58.2</v>
      </c>
      <c r="F300" s="7" t="s">
        <v>7</v>
      </c>
    </row>
    <row r="301" s="2" customFormat="1" ht="14.1" customHeight="1" spans="1:6">
      <c r="A301" s="7" t="str">
        <f>"2101601029"</f>
        <v>2101601029</v>
      </c>
      <c r="B301" s="7" t="str">
        <f t="shared" si="18"/>
        <v>2021016</v>
      </c>
      <c r="C301" s="7" t="str">
        <f t="shared" si="17"/>
        <v>010</v>
      </c>
      <c r="D301" s="7" t="str">
        <f>"29"</f>
        <v>29</v>
      </c>
      <c r="E301" s="8">
        <v>67.4</v>
      </c>
      <c r="F301" s="7" t="s">
        <v>7</v>
      </c>
    </row>
    <row r="302" s="2" customFormat="1" ht="14.1" customHeight="1" spans="1:6">
      <c r="A302" s="7" t="str">
        <f>"2101601030"</f>
        <v>2101601030</v>
      </c>
      <c r="B302" s="7" t="str">
        <f t="shared" si="18"/>
        <v>2021016</v>
      </c>
      <c r="C302" s="7" t="str">
        <f t="shared" si="17"/>
        <v>010</v>
      </c>
      <c r="D302" s="7" t="str">
        <f>"30"</f>
        <v>30</v>
      </c>
      <c r="E302" s="8">
        <v>0</v>
      </c>
      <c r="F302" s="7" t="s">
        <v>8</v>
      </c>
    </row>
    <row r="303" s="2" customFormat="1" ht="14.1" customHeight="1" spans="1:6">
      <c r="A303" s="7" t="str">
        <f>"2101601101"</f>
        <v>2101601101</v>
      </c>
      <c r="B303" s="7" t="str">
        <f t="shared" si="18"/>
        <v>2021016</v>
      </c>
      <c r="C303" s="7" t="str">
        <f t="shared" ref="C303:C332" si="19">"011"</f>
        <v>011</v>
      </c>
      <c r="D303" s="7" t="str">
        <f>"01"</f>
        <v>01</v>
      </c>
      <c r="E303" s="8">
        <v>61.4</v>
      </c>
      <c r="F303" s="7" t="s">
        <v>7</v>
      </c>
    </row>
    <row r="304" s="2" customFormat="1" ht="14.1" customHeight="1" spans="1:6">
      <c r="A304" s="7" t="str">
        <f>"2101601102"</f>
        <v>2101601102</v>
      </c>
      <c r="B304" s="7" t="str">
        <f t="shared" si="18"/>
        <v>2021016</v>
      </c>
      <c r="C304" s="7" t="str">
        <f t="shared" si="19"/>
        <v>011</v>
      </c>
      <c r="D304" s="7" t="str">
        <f>"02"</f>
        <v>02</v>
      </c>
      <c r="E304" s="8">
        <v>0</v>
      </c>
      <c r="F304" s="7" t="s">
        <v>8</v>
      </c>
    </row>
    <row r="305" s="2" customFormat="1" ht="14.1" customHeight="1" spans="1:6">
      <c r="A305" s="7" t="str">
        <f>"2101601103"</f>
        <v>2101601103</v>
      </c>
      <c r="B305" s="7" t="str">
        <f t="shared" si="18"/>
        <v>2021016</v>
      </c>
      <c r="C305" s="7" t="str">
        <f t="shared" si="19"/>
        <v>011</v>
      </c>
      <c r="D305" s="7" t="str">
        <f>"03"</f>
        <v>03</v>
      </c>
      <c r="E305" s="8">
        <v>0</v>
      </c>
      <c r="F305" s="7" t="s">
        <v>8</v>
      </c>
    </row>
    <row r="306" s="2" customFormat="1" ht="14.1" customHeight="1" spans="1:6">
      <c r="A306" s="7" t="str">
        <f>"2101601104"</f>
        <v>2101601104</v>
      </c>
      <c r="B306" s="7" t="str">
        <f t="shared" si="18"/>
        <v>2021016</v>
      </c>
      <c r="C306" s="7" t="str">
        <f t="shared" si="19"/>
        <v>011</v>
      </c>
      <c r="D306" s="7" t="str">
        <f>"04"</f>
        <v>04</v>
      </c>
      <c r="E306" s="8">
        <v>0</v>
      </c>
      <c r="F306" s="7" t="s">
        <v>8</v>
      </c>
    </row>
    <row r="307" s="2" customFormat="1" ht="14.1" customHeight="1" spans="1:6">
      <c r="A307" s="7" t="str">
        <f>"2101601105"</f>
        <v>2101601105</v>
      </c>
      <c r="B307" s="7" t="str">
        <f t="shared" si="18"/>
        <v>2021016</v>
      </c>
      <c r="C307" s="7" t="str">
        <f t="shared" si="19"/>
        <v>011</v>
      </c>
      <c r="D307" s="7" t="str">
        <f>"05"</f>
        <v>05</v>
      </c>
      <c r="E307" s="8">
        <v>0</v>
      </c>
      <c r="F307" s="7" t="s">
        <v>8</v>
      </c>
    </row>
    <row r="308" s="2" customFormat="1" ht="14.1" customHeight="1" spans="1:6">
      <c r="A308" s="7" t="str">
        <f>"2101601106"</f>
        <v>2101601106</v>
      </c>
      <c r="B308" s="7" t="str">
        <f t="shared" si="18"/>
        <v>2021016</v>
      </c>
      <c r="C308" s="7" t="str">
        <f t="shared" si="19"/>
        <v>011</v>
      </c>
      <c r="D308" s="7" t="str">
        <f>"06"</f>
        <v>06</v>
      </c>
      <c r="E308" s="8">
        <v>0</v>
      </c>
      <c r="F308" s="7" t="s">
        <v>8</v>
      </c>
    </row>
    <row r="309" s="2" customFormat="1" ht="14.1" customHeight="1" spans="1:6">
      <c r="A309" s="7" t="str">
        <f>"2101601107"</f>
        <v>2101601107</v>
      </c>
      <c r="B309" s="7" t="str">
        <f t="shared" si="18"/>
        <v>2021016</v>
      </c>
      <c r="C309" s="7" t="str">
        <f t="shared" si="19"/>
        <v>011</v>
      </c>
      <c r="D309" s="7" t="str">
        <f>"07"</f>
        <v>07</v>
      </c>
      <c r="E309" s="8">
        <v>0</v>
      </c>
      <c r="F309" s="7" t="s">
        <v>8</v>
      </c>
    </row>
    <row r="310" s="2" customFormat="1" ht="14.1" customHeight="1" spans="1:6">
      <c r="A310" s="7" t="str">
        <f>"2101601108"</f>
        <v>2101601108</v>
      </c>
      <c r="B310" s="7" t="str">
        <f t="shared" si="18"/>
        <v>2021016</v>
      </c>
      <c r="C310" s="7" t="str">
        <f t="shared" si="19"/>
        <v>011</v>
      </c>
      <c r="D310" s="7" t="str">
        <f>"08"</f>
        <v>08</v>
      </c>
      <c r="E310" s="8">
        <v>69.2</v>
      </c>
      <c r="F310" s="7" t="s">
        <v>7</v>
      </c>
    </row>
    <row r="311" s="2" customFormat="1" ht="14.1" customHeight="1" spans="1:6">
      <c r="A311" s="7" t="str">
        <f>"2101601109"</f>
        <v>2101601109</v>
      </c>
      <c r="B311" s="7" t="str">
        <f t="shared" si="18"/>
        <v>2021016</v>
      </c>
      <c r="C311" s="7" t="str">
        <f t="shared" si="19"/>
        <v>011</v>
      </c>
      <c r="D311" s="7" t="str">
        <f>"09"</f>
        <v>09</v>
      </c>
      <c r="E311" s="8">
        <v>62.4</v>
      </c>
      <c r="F311" s="7" t="s">
        <v>7</v>
      </c>
    </row>
    <row r="312" s="2" customFormat="1" ht="14.1" customHeight="1" spans="1:6">
      <c r="A312" s="7" t="str">
        <f>"2101601110"</f>
        <v>2101601110</v>
      </c>
      <c r="B312" s="7" t="str">
        <f t="shared" si="18"/>
        <v>2021016</v>
      </c>
      <c r="C312" s="7" t="str">
        <f t="shared" si="19"/>
        <v>011</v>
      </c>
      <c r="D312" s="7" t="str">
        <f>"10"</f>
        <v>10</v>
      </c>
      <c r="E312" s="8">
        <v>0</v>
      </c>
      <c r="F312" s="7" t="s">
        <v>8</v>
      </c>
    </row>
    <row r="313" s="2" customFormat="1" ht="14.1" customHeight="1" spans="1:6">
      <c r="A313" s="7" t="str">
        <f>"2101601111"</f>
        <v>2101601111</v>
      </c>
      <c r="B313" s="7" t="str">
        <f t="shared" si="18"/>
        <v>2021016</v>
      </c>
      <c r="C313" s="7" t="str">
        <f t="shared" si="19"/>
        <v>011</v>
      </c>
      <c r="D313" s="7" t="str">
        <f>"11"</f>
        <v>11</v>
      </c>
      <c r="E313" s="8">
        <v>63.2</v>
      </c>
      <c r="F313" s="7" t="s">
        <v>7</v>
      </c>
    </row>
    <row r="314" s="2" customFormat="1" ht="14.1" customHeight="1" spans="1:6">
      <c r="A314" s="7" t="str">
        <f>"2101601112"</f>
        <v>2101601112</v>
      </c>
      <c r="B314" s="7" t="str">
        <f t="shared" si="18"/>
        <v>2021016</v>
      </c>
      <c r="C314" s="7" t="str">
        <f t="shared" si="19"/>
        <v>011</v>
      </c>
      <c r="D314" s="7" t="str">
        <f>"12"</f>
        <v>12</v>
      </c>
      <c r="E314" s="8">
        <v>64.2</v>
      </c>
      <c r="F314" s="7" t="s">
        <v>7</v>
      </c>
    </row>
    <row r="315" s="2" customFormat="1" ht="14.1" customHeight="1" spans="1:6">
      <c r="A315" s="7" t="str">
        <f>"2101601113"</f>
        <v>2101601113</v>
      </c>
      <c r="B315" s="7" t="str">
        <f t="shared" si="18"/>
        <v>2021016</v>
      </c>
      <c r="C315" s="7" t="str">
        <f t="shared" si="19"/>
        <v>011</v>
      </c>
      <c r="D315" s="7" t="str">
        <f>"13"</f>
        <v>13</v>
      </c>
      <c r="E315" s="8">
        <v>60.8</v>
      </c>
      <c r="F315" s="7" t="s">
        <v>7</v>
      </c>
    </row>
    <row r="316" s="2" customFormat="1" ht="14.1" customHeight="1" spans="1:6">
      <c r="A316" s="7" t="str">
        <f>"2101601114"</f>
        <v>2101601114</v>
      </c>
      <c r="B316" s="7" t="str">
        <f t="shared" si="18"/>
        <v>2021016</v>
      </c>
      <c r="C316" s="7" t="str">
        <f t="shared" si="19"/>
        <v>011</v>
      </c>
      <c r="D316" s="7" t="str">
        <f>"14"</f>
        <v>14</v>
      </c>
      <c r="E316" s="8">
        <v>63.5</v>
      </c>
      <c r="F316" s="7" t="s">
        <v>7</v>
      </c>
    </row>
    <row r="317" s="2" customFormat="1" ht="14.1" customHeight="1" spans="1:6">
      <c r="A317" s="7" t="str">
        <f>"2101601115"</f>
        <v>2101601115</v>
      </c>
      <c r="B317" s="7" t="str">
        <f t="shared" si="18"/>
        <v>2021016</v>
      </c>
      <c r="C317" s="7" t="str">
        <f t="shared" si="19"/>
        <v>011</v>
      </c>
      <c r="D317" s="7" t="str">
        <f>"15"</f>
        <v>15</v>
      </c>
      <c r="E317" s="8">
        <v>23.9</v>
      </c>
      <c r="F317" s="7" t="s">
        <v>7</v>
      </c>
    </row>
    <row r="318" s="2" customFormat="1" ht="14.1" customHeight="1" spans="1:6">
      <c r="A318" s="7" t="str">
        <f>"2101601116"</f>
        <v>2101601116</v>
      </c>
      <c r="B318" s="7" t="str">
        <f t="shared" si="18"/>
        <v>2021016</v>
      </c>
      <c r="C318" s="7" t="str">
        <f t="shared" si="19"/>
        <v>011</v>
      </c>
      <c r="D318" s="7" t="str">
        <f>"16"</f>
        <v>16</v>
      </c>
      <c r="E318" s="8">
        <v>0</v>
      </c>
      <c r="F318" s="7" t="s">
        <v>8</v>
      </c>
    </row>
    <row r="319" s="2" customFormat="1" ht="14.1" customHeight="1" spans="1:6">
      <c r="A319" s="7" t="str">
        <f>"2101601117"</f>
        <v>2101601117</v>
      </c>
      <c r="B319" s="7" t="str">
        <f t="shared" si="18"/>
        <v>2021016</v>
      </c>
      <c r="C319" s="7" t="str">
        <f t="shared" si="19"/>
        <v>011</v>
      </c>
      <c r="D319" s="7" t="str">
        <f>"17"</f>
        <v>17</v>
      </c>
      <c r="E319" s="8">
        <v>0</v>
      </c>
      <c r="F319" s="7" t="s">
        <v>8</v>
      </c>
    </row>
    <row r="320" s="2" customFormat="1" ht="14.1" customHeight="1" spans="1:6">
      <c r="A320" s="7" t="str">
        <f>"2101601118"</f>
        <v>2101601118</v>
      </c>
      <c r="B320" s="7" t="str">
        <f t="shared" si="18"/>
        <v>2021016</v>
      </c>
      <c r="C320" s="7" t="str">
        <f t="shared" si="19"/>
        <v>011</v>
      </c>
      <c r="D320" s="7" t="str">
        <f>"18"</f>
        <v>18</v>
      </c>
      <c r="E320" s="8">
        <v>0</v>
      </c>
      <c r="F320" s="7" t="s">
        <v>8</v>
      </c>
    </row>
    <row r="321" s="2" customFormat="1" ht="14.1" customHeight="1" spans="1:6">
      <c r="A321" s="7" t="str">
        <f>"2101601119"</f>
        <v>2101601119</v>
      </c>
      <c r="B321" s="7" t="str">
        <f t="shared" si="18"/>
        <v>2021016</v>
      </c>
      <c r="C321" s="7" t="str">
        <f t="shared" si="19"/>
        <v>011</v>
      </c>
      <c r="D321" s="7" t="str">
        <f>"19"</f>
        <v>19</v>
      </c>
      <c r="E321" s="8">
        <v>64.9</v>
      </c>
      <c r="F321" s="7" t="s">
        <v>7</v>
      </c>
    </row>
    <row r="322" s="2" customFormat="1" ht="14.1" customHeight="1" spans="1:6">
      <c r="A322" s="7" t="str">
        <f>"2101601120"</f>
        <v>2101601120</v>
      </c>
      <c r="B322" s="7" t="str">
        <f t="shared" si="18"/>
        <v>2021016</v>
      </c>
      <c r="C322" s="7" t="str">
        <f t="shared" si="19"/>
        <v>011</v>
      </c>
      <c r="D322" s="7" t="str">
        <f>"20"</f>
        <v>20</v>
      </c>
      <c r="E322" s="8">
        <v>0</v>
      </c>
      <c r="F322" s="7" t="s">
        <v>8</v>
      </c>
    </row>
    <row r="323" s="2" customFormat="1" ht="14.1" customHeight="1" spans="1:6">
      <c r="A323" s="7" t="str">
        <f>"2101601121"</f>
        <v>2101601121</v>
      </c>
      <c r="B323" s="7" t="str">
        <f t="shared" si="18"/>
        <v>2021016</v>
      </c>
      <c r="C323" s="7" t="str">
        <f t="shared" si="19"/>
        <v>011</v>
      </c>
      <c r="D323" s="7" t="str">
        <f>"21"</f>
        <v>21</v>
      </c>
      <c r="E323" s="8">
        <v>58.9</v>
      </c>
      <c r="F323" s="7" t="s">
        <v>7</v>
      </c>
    </row>
    <row r="324" s="2" customFormat="1" ht="14.1" customHeight="1" spans="1:6">
      <c r="A324" s="7" t="str">
        <f>"2101601122"</f>
        <v>2101601122</v>
      </c>
      <c r="B324" s="7" t="str">
        <f t="shared" si="18"/>
        <v>2021016</v>
      </c>
      <c r="C324" s="7" t="str">
        <f t="shared" si="19"/>
        <v>011</v>
      </c>
      <c r="D324" s="7" t="str">
        <f>"22"</f>
        <v>22</v>
      </c>
      <c r="E324" s="8">
        <v>54.4</v>
      </c>
      <c r="F324" s="7" t="s">
        <v>7</v>
      </c>
    </row>
    <row r="325" s="2" customFormat="1" ht="14.1" customHeight="1" spans="1:6">
      <c r="A325" s="7" t="str">
        <f>"2101601123"</f>
        <v>2101601123</v>
      </c>
      <c r="B325" s="7" t="str">
        <f t="shared" si="18"/>
        <v>2021016</v>
      </c>
      <c r="C325" s="7" t="str">
        <f t="shared" si="19"/>
        <v>011</v>
      </c>
      <c r="D325" s="7" t="str">
        <f>"23"</f>
        <v>23</v>
      </c>
      <c r="E325" s="8">
        <v>0</v>
      </c>
      <c r="F325" s="7" t="s">
        <v>8</v>
      </c>
    </row>
    <row r="326" s="2" customFormat="1" ht="14.1" customHeight="1" spans="1:6">
      <c r="A326" s="7" t="str">
        <f>"2101601124"</f>
        <v>2101601124</v>
      </c>
      <c r="B326" s="7" t="str">
        <f t="shared" si="18"/>
        <v>2021016</v>
      </c>
      <c r="C326" s="7" t="str">
        <f t="shared" si="19"/>
        <v>011</v>
      </c>
      <c r="D326" s="7" t="str">
        <f>"24"</f>
        <v>24</v>
      </c>
      <c r="E326" s="8">
        <v>57.9</v>
      </c>
      <c r="F326" s="7" t="s">
        <v>7</v>
      </c>
    </row>
    <row r="327" s="2" customFormat="1" ht="14.1" customHeight="1" spans="1:6">
      <c r="A327" s="7" t="str">
        <f>"2101601125"</f>
        <v>2101601125</v>
      </c>
      <c r="B327" s="7" t="str">
        <f t="shared" si="18"/>
        <v>2021016</v>
      </c>
      <c r="C327" s="7" t="str">
        <f t="shared" si="19"/>
        <v>011</v>
      </c>
      <c r="D327" s="7" t="str">
        <f>"25"</f>
        <v>25</v>
      </c>
      <c r="E327" s="8">
        <v>47.5</v>
      </c>
      <c r="F327" s="7" t="s">
        <v>7</v>
      </c>
    </row>
    <row r="328" s="2" customFormat="1" ht="14.1" customHeight="1" spans="1:6">
      <c r="A328" s="7" t="str">
        <f>"2101601126"</f>
        <v>2101601126</v>
      </c>
      <c r="B328" s="7" t="str">
        <f t="shared" si="18"/>
        <v>2021016</v>
      </c>
      <c r="C328" s="7" t="str">
        <f t="shared" si="19"/>
        <v>011</v>
      </c>
      <c r="D328" s="7" t="str">
        <f>"26"</f>
        <v>26</v>
      </c>
      <c r="E328" s="8">
        <v>0</v>
      </c>
      <c r="F328" s="7" t="s">
        <v>8</v>
      </c>
    </row>
    <row r="329" s="2" customFormat="1" ht="14.1" customHeight="1" spans="1:6">
      <c r="A329" s="7" t="str">
        <f>"2101601127"</f>
        <v>2101601127</v>
      </c>
      <c r="B329" s="7" t="str">
        <f t="shared" si="18"/>
        <v>2021016</v>
      </c>
      <c r="C329" s="7" t="str">
        <f t="shared" si="19"/>
        <v>011</v>
      </c>
      <c r="D329" s="7" t="str">
        <f>"27"</f>
        <v>27</v>
      </c>
      <c r="E329" s="8">
        <v>57.5</v>
      </c>
      <c r="F329" s="7" t="s">
        <v>7</v>
      </c>
    </row>
    <row r="330" s="2" customFormat="1" ht="14.1" customHeight="1" spans="1:6">
      <c r="A330" s="7" t="str">
        <f>"2101601128"</f>
        <v>2101601128</v>
      </c>
      <c r="B330" s="7" t="str">
        <f t="shared" si="18"/>
        <v>2021016</v>
      </c>
      <c r="C330" s="7" t="str">
        <f t="shared" si="19"/>
        <v>011</v>
      </c>
      <c r="D330" s="7" t="str">
        <f>"28"</f>
        <v>28</v>
      </c>
      <c r="E330" s="8">
        <v>0</v>
      </c>
      <c r="F330" s="7" t="s">
        <v>8</v>
      </c>
    </row>
    <row r="331" s="2" customFormat="1" ht="14.1" customHeight="1" spans="1:6">
      <c r="A331" s="7" t="str">
        <f>"2101601129"</f>
        <v>2101601129</v>
      </c>
      <c r="B331" s="7" t="str">
        <f t="shared" si="18"/>
        <v>2021016</v>
      </c>
      <c r="C331" s="7" t="str">
        <f t="shared" si="19"/>
        <v>011</v>
      </c>
      <c r="D331" s="7" t="str">
        <f>"29"</f>
        <v>29</v>
      </c>
      <c r="E331" s="8">
        <v>0</v>
      </c>
      <c r="F331" s="7" t="s">
        <v>8</v>
      </c>
    </row>
    <row r="332" s="2" customFormat="1" ht="14.1" customHeight="1" spans="1:6">
      <c r="A332" s="7" t="str">
        <f>"2101601130"</f>
        <v>2101601130</v>
      </c>
      <c r="B332" s="7" t="str">
        <f t="shared" si="18"/>
        <v>2021016</v>
      </c>
      <c r="C332" s="7" t="str">
        <f t="shared" si="19"/>
        <v>011</v>
      </c>
      <c r="D332" s="7" t="str">
        <f>"30"</f>
        <v>30</v>
      </c>
      <c r="E332" s="8">
        <v>49.3</v>
      </c>
      <c r="F332" s="7" t="s">
        <v>7</v>
      </c>
    </row>
    <row r="333" s="2" customFormat="1" ht="14.1" customHeight="1" spans="1:6">
      <c r="A333" s="7" t="str">
        <f>"2101601201"</f>
        <v>2101601201</v>
      </c>
      <c r="B333" s="7" t="str">
        <f t="shared" si="18"/>
        <v>2021016</v>
      </c>
      <c r="C333" s="7" t="str">
        <f t="shared" ref="C333:C362" si="20">"012"</f>
        <v>012</v>
      </c>
      <c r="D333" s="7" t="str">
        <f>"01"</f>
        <v>01</v>
      </c>
      <c r="E333" s="8">
        <v>61.4</v>
      </c>
      <c r="F333" s="7" t="s">
        <v>7</v>
      </c>
    </row>
    <row r="334" s="2" customFormat="1" ht="14.1" customHeight="1" spans="1:6">
      <c r="A334" s="7" t="str">
        <f>"2101601202"</f>
        <v>2101601202</v>
      </c>
      <c r="B334" s="7" t="str">
        <f t="shared" si="18"/>
        <v>2021016</v>
      </c>
      <c r="C334" s="7" t="str">
        <f t="shared" si="20"/>
        <v>012</v>
      </c>
      <c r="D334" s="7" t="str">
        <f>"02"</f>
        <v>02</v>
      </c>
      <c r="E334" s="8">
        <v>55.8</v>
      </c>
      <c r="F334" s="7" t="s">
        <v>7</v>
      </c>
    </row>
    <row r="335" s="2" customFormat="1" ht="14.1" customHeight="1" spans="1:6">
      <c r="A335" s="7" t="str">
        <f>"2101601203"</f>
        <v>2101601203</v>
      </c>
      <c r="B335" s="7" t="str">
        <f t="shared" si="18"/>
        <v>2021016</v>
      </c>
      <c r="C335" s="7" t="str">
        <f t="shared" si="20"/>
        <v>012</v>
      </c>
      <c r="D335" s="7" t="str">
        <f>"03"</f>
        <v>03</v>
      </c>
      <c r="E335" s="8">
        <v>62.1</v>
      </c>
      <c r="F335" s="7" t="s">
        <v>7</v>
      </c>
    </row>
    <row r="336" s="2" customFormat="1" ht="14.1" customHeight="1" spans="1:6">
      <c r="A336" s="7" t="str">
        <f>"2101601204"</f>
        <v>2101601204</v>
      </c>
      <c r="B336" s="7" t="str">
        <f t="shared" si="18"/>
        <v>2021016</v>
      </c>
      <c r="C336" s="7" t="str">
        <f t="shared" si="20"/>
        <v>012</v>
      </c>
      <c r="D336" s="7" t="str">
        <f>"04"</f>
        <v>04</v>
      </c>
      <c r="E336" s="8">
        <v>0</v>
      </c>
      <c r="F336" s="7" t="s">
        <v>8</v>
      </c>
    </row>
    <row r="337" s="2" customFormat="1" ht="14.1" customHeight="1" spans="1:6">
      <c r="A337" s="7" t="str">
        <f>"2101601205"</f>
        <v>2101601205</v>
      </c>
      <c r="B337" s="7" t="str">
        <f t="shared" si="18"/>
        <v>2021016</v>
      </c>
      <c r="C337" s="7" t="str">
        <f t="shared" si="20"/>
        <v>012</v>
      </c>
      <c r="D337" s="7" t="str">
        <f>"05"</f>
        <v>05</v>
      </c>
      <c r="E337" s="8">
        <v>0</v>
      </c>
      <c r="F337" s="7" t="s">
        <v>8</v>
      </c>
    </row>
    <row r="338" s="2" customFormat="1" ht="14.1" customHeight="1" spans="1:6">
      <c r="A338" s="7" t="str">
        <f>"2101601206"</f>
        <v>2101601206</v>
      </c>
      <c r="B338" s="7" t="str">
        <f t="shared" si="18"/>
        <v>2021016</v>
      </c>
      <c r="C338" s="7" t="str">
        <f t="shared" si="20"/>
        <v>012</v>
      </c>
      <c r="D338" s="7" t="str">
        <f>"06"</f>
        <v>06</v>
      </c>
      <c r="E338" s="8">
        <v>60.1</v>
      </c>
      <c r="F338" s="7" t="s">
        <v>7</v>
      </c>
    </row>
    <row r="339" s="2" customFormat="1" ht="14.1" customHeight="1" spans="1:6">
      <c r="A339" s="7" t="str">
        <f>"2101601207"</f>
        <v>2101601207</v>
      </c>
      <c r="B339" s="7" t="str">
        <f t="shared" si="18"/>
        <v>2021016</v>
      </c>
      <c r="C339" s="7" t="str">
        <f t="shared" si="20"/>
        <v>012</v>
      </c>
      <c r="D339" s="7" t="str">
        <f>"07"</f>
        <v>07</v>
      </c>
      <c r="E339" s="8">
        <v>0</v>
      </c>
      <c r="F339" s="7" t="s">
        <v>8</v>
      </c>
    </row>
    <row r="340" s="2" customFormat="1" ht="14.1" customHeight="1" spans="1:6">
      <c r="A340" s="7" t="str">
        <f>"2101601208"</f>
        <v>2101601208</v>
      </c>
      <c r="B340" s="7" t="str">
        <f t="shared" si="18"/>
        <v>2021016</v>
      </c>
      <c r="C340" s="7" t="str">
        <f t="shared" si="20"/>
        <v>012</v>
      </c>
      <c r="D340" s="7" t="str">
        <f>"08"</f>
        <v>08</v>
      </c>
      <c r="E340" s="8">
        <v>0</v>
      </c>
      <c r="F340" s="7" t="s">
        <v>8</v>
      </c>
    </row>
    <row r="341" s="2" customFormat="1" ht="14.1" customHeight="1" spans="1:6">
      <c r="A341" s="7" t="str">
        <f>"2101601209"</f>
        <v>2101601209</v>
      </c>
      <c r="B341" s="7" t="str">
        <f t="shared" si="18"/>
        <v>2021016</v>
      </c>
      <c r="C341" s="7" t="str">
        <f t="shared" si="20"/>
        <v>012</v>
      </c>
      <c r="D341" s="7" t="str">
        <f>"09"</f>
        <v>09</v>
      </c>
      <c r="E341" s="8">
        <v>0</v>
      </c>
      <c r="F341" s="7" t="s">
        <v>8</v>
      </c>
    </row>
    <row r="342" s="2" customFormat="1" ht="14.1" customHeight="1" spans="1:6">
      <c r="A342" s="7" t="str">
        <f>"2101601210"</f>
        <v>2101601210</v>
      </c>
      <c r="B342" s="7" t="str">
        <f t="shared" si="18"/>
        <v>2021016</v>
      </c>
      <c r="C342" s="7" t="str">
        <f t="shared" si="20"/>
        <v>012</v>
      </c>
      <c r="D342" s="7" t="str">
        <f>"10"</f>
        <v>10</v>
      </c>
      <c r="E342" s="8">
        <v>0</v>
      </c>
      <c r="F342" s="7" t="s">
        <v>8</v>
      </c>
    </row>
    <row r="343" s="2" customFormat="1" ht="14.1" customHeight="1" spans="1:6">
      <c r="A343" s="7" t="str">
        <f>"2101601211"</f>
        <v>2101601211</v>
      </c>
      <c r="B343" s="7" t="str">
        <f t="shared" si="18"/>
        <v>2021016</v>
      </c>
      <c r="C343" s="7" t="str">
        <f t="shared" si="20"/>
        <v>012</v>
      </c>
      <c r="D343" s="7" t="str">
        <f>"11"</f>
        <v>11</v>
      </c>
      <c r="E343" s="8">
        <v>0</v>
      </c>
      <c r="F343" s="7" t="s">
        <v>8</v>
      </c>
    </row>
    <row r="344" s="2" customFormat="1" ht="14.1" customHeight="1" spans="1:6">
      <c r="A344" s="7" t="str">
        <f>"2101601212"</f>
        <v>2101601212</v>
      </c>
      <c r="B344" s="7" t="str">
        <f t="shared" ref="B344:B407" si="21">"2021016"</f>
        <v>2021016</v>
      </c>
      <c r="C344" s="7" t="str">
        <f t="shared" si="20"/>
        <v>012</v>
      </c>
      <c r="D344" s="7" t="str">
        <f>"12"</f>
        <v>12</v>
      </c>
      <c r="E344" s="8">
        <v>0</v>
      </c>
      <c r="F344" s="7" t="s">
        <v>8</v>
      </c>
    </row>
    <row r="345" s="2" customFormat="1" ht="14.1" customHeight="1" spans="1:6">
      <c r="A345" s="7" t="str">
        <f>"2101601213"</f>
        <v>2101601213</v>
      </c>
      <c r="B345" s="7" t="str">
        <f t="shared" si="21"/>
        <v>2021016</v>
      </c>
      <c r="C345" s="7" t="str">
        <f t="shared" si="20"/>
        <v>012</v>
      </c>
      <c r="D345" s="7" t="str">
        <f>"13"</f>
        <v>13</v>
      </c>
      <c r="E345" s="8">
        <v>63.2</v>
      </c>
      <c r="F345" s="7" t="s">
        <v>7</v>
      </c>
    </row>
    <row r="346" s="2" customFormat="1" ht="14.1" customHeight="1" spans="1:6">
      <c r="A346" s="7" t="str">
        <f>"2101601214"</f>
        <v>2101601214</v>
      </c>
      <c r="B346" s="7" t="str">
        <f t="shared" si="21"/>
        <v>2021016</v>
      </c>
      <c r="C346" s="7" t="str">
        <f t="shared" si="20"/>
        <v>012</v>
      </c>
      <c r="D346" s="7" t="str">
        <f>"14"</f>
        <v>14</v>
      </c>
      <c r="E346" s="8">
        <v>55.3</v>
      </c>
      <c r="F346" s="7" t="s">
        <v>7</v>
      </c>
    </row>
    <row r="347" s="2" customFormat="1" ht="14.1" customHeight="1" spans="1:6">
      <c r="A347" s="7" t="str">
        <f>"2101601215"</f>
        <v>2101601215</v>
      </c>
      <c r="B347" s="7" t="str">
        <f t="shared" si="21"/>
        <v>2021016</v>
      </c>
      <c r="C347" s="7" t="str">
        <f t="shared" si="20"/>
        <v>012</v>
      </c>
      <c r="D347" s="7" t="str">
        <f>"15"</f>
        <v>15</v>
      </c>
      <c r="E347" s="8">
        <v>51.9</v>
      </c>
      <c r="F347" s="7" t="s">
        <v>7</v>
      </c>
    </row>
    <row r="348" s="2" customFormat="1" ht="14.1" customHeight="1" spans="1:6">
      <c r="A348" s="7" t="str">
        <f>"2101601216"</f>
        <v>2101601216</v>
      </c>
      <c r="B348" s="7" t="str">
        <f t="shared" si="21"/>
        <v>2021016</v>
      </c>
      <c r="C348" s="7" t="str">
        <f t="shared" si="20"/>
        <v>012</v>
      </c>
      <c r="D348" s="7" t="str">
        <f>"16"</f>
        <v>16</v>
      </c>
      <c r="E348" s="8">
        <v>67.8</v>
      </c>
      <c r="F348" s="7" t="s">
        <v>7</v>
      </c>
    </row>
    <row r="349" s="2" customFormat="1" ht="14.1" customHeight="1" spans="1:6">
      <c r="A349" s="7" t="str">
        <f>"2101601217"</f>
        <v>2101601217</v>
      </c>
      <c r="B349" s="7" t="str">
        <f t="shared" si="21"/>
        <v>2021016</v>
      </c>
      <c r="C349" s="7" t="str">
        <f t="shared" si="20"/>
        <v>012</v>
      </c>
      <c r="D349" s="7" t="str">
        <f>"17"</f>
        <v>17</v>
      </c>
      <c r="E349" s="8">
        <v>0</v>
      </c>
      <c r="F349" s="7" t="s">
        <v>8</v>
      </c>
    </row>
    <row r="350" s="2" customFormat="1" ht="14.1" customHeight="1" spans="1:6">
      <c r="A350" s="7" t="str">
        <f>"2101601218"</f>
        <v>2101601218</v>
      </c>
      <c r="B350" s="7" t="str">
        <f t="shared" si="21"/>
        <v>2021016</v>
      </c>
      <c r="C350" s="7" t="str">
        <f t="shared" si="20"/>
        <v>012</v>
      </c>
      <c r="D350" s="7" t="str">
        <f>"18"</f>
        <v>18</v>
      </c>
      <c r="E350" s="8">
        <v>0</v>
      </c>
      <c r="F350" s="7" t="s">
        <v>8</v>
      </c>
    </row>
    <row r="351" s="2" customFormat="1" ht="14.1" customHeight="1" spans="1:6">
      <c r="A351" s="7" t="str">
        <f>"2101601219"</f>
        <v>2101601219</v>
      </c>
      <c r="B351" s="7" t="str">
        <f t="shared" si="21"/>
        <v>2021016</v>
      </c>
      <c r="C351" s="7" t="str">
        <f t="shared" si="20"/>
        <v>012</v>
      </c>
      <c r="D351" s="7" t="str">
        <f>"19"</f>
        <v>19</v>
      </c>
      <c r="E351" s="8">
        <v>55.4</v>
      </c>
      <c r="F351" s="7" t="s">
        <v>7</v>
      </c>
    </row>
    <row r="352" s="2" customFormat="1" ht="14.1" customHeight="1" spans="1:6">
      <c r="A352" s="7" t="str">
        <f>"2101601220"</f>
        <v>2101601220</v>
      </c>
      <c r="B352" s="7" t="str">
        <f t="shared" si="21"/>
        <v>2021016</v>
      </c>
      <c r="C352" s="7" t="str">
        <f t="shared" si="20"/>
        <v>012</v>
      </c>
      <c r="D352" s="7" t="str">
        <f>"20"</f>
        <v>20</v>
      </c>
      <c r="E352" s="8">
        <v>50.5</v>
      </c>
      <c r="F352" s="7" t="s">
        <v>7</v>
      </c>
    </row>
    <row r="353" s="2" customFormat="1" ht="14.1" customHeight="1" spans="1:6">
      <c r="A353" s="7" t="str">
        <f>"2101601221"</f>
        <v>2101601221</v>
      </c>
      <c r="B353" s="7" t="str">
        <f t="shared" si="21"/>
        <v>2021016</v>
      </c>
      <c r="C353" s="7" t="str">
        <f t="shared" si="20"/>
        <v>012</v>
      </c>
      <c r="D353" s="7" t="str">
        <f>"21"</f>
        <v>21</v>
      </c>
      <c r="E353" s="8">
        <v>0</v>
      </c>
      <c r="F353" s="7" t="s">
        <v>8</v>
      </c>
    </row>
    <row r="354" s="2" customFormat="1" ht="14.1" customHeight="1" spans="1:6">
      <c r="A354" s="7" t="str">
        <f>"2101601222"</f>
        <v>2101601222</v>
      </c>
      <c r="B354" s="7" t="str">
        <f t="shared" si="21"/>
        <v>2021016</v>
      </c>
      <c r="C354" s="7" t="str">
        <f t="shared" si="20"/>
        <v>012</v>
      </c>
      <c r="D354" s="7" t="str">
        <f>"22"</f>
        <v>22</v>
      </c>
      <c r="E354" s="8">
        <v>55.2</v>
      </c>
      <c r="F354" s="7" t="s">
        <v>7</v>
      </c>
    </row>
    <row r="355" s="2" customFormat="1" ht="14.1" customHeight="1" spans="1:6">
      <c r="A355" s="7" t="str">
        <f>"2101601223"</f>
        <v>2101601223</v>
      </c>
      <c r="B355" s="7" t="str">
        <f t="shared" si="21"/>
        <v>2021016</v>
      </c>
      <c r="C355" s="7" t="str">
        <f t="shared" si="20"/>
        <v>012</v>
      </c>
      <c r="D355" s="7" t="str">
        <f>"23"</f>
        <v>23</v>
      </c>
      <c r="E355" s="8">
        <v>63.5</v>
      </c>
      <c r="F355" s="7" t="s">
        <v>7</v>
      </c>
    </row>
    <row r="356" s="2" customFormat="1" ht="14.1" customHeight="1" spans="1:6">
      <c r="A356" s="7" t="str">
        <f>"2101601224"</f>
        <v>2101601224</v>
      </c>
      <c r="B356" s="7" t="str">
        <f t="shared" si="21"/>
        <v>2021016</v>
      </c>
      <c r="C356" s="7" t="str">
        <f t="shared" si="20"/>
        <v>012</v>
      </c>
      <c r="D356" s="7" t="str">
        <f>"24"</f>
        <v>24</v>
      </c>
      <c r="E356" s="8">
        <v>0</v>
      </c>
      <c r="F356" s="7" t="s">
        <v>8</v>
      </c>
    </row>
    <row r="357" s="2" customFormat="1" ht="14.1" customHeight="1" spans="1:6">
      <c r="A357" s="7" t="str">
        <f>"2101601225"</f>
        <v>2101601225</v>
      </c>
      <c r="B357" s="7" t="str">
        <f t="shared" si="21"/>
        <v>2021016</v>
      </c>
      <c r="C357" s="7" t="str">
        <f t="shared" si="20"/>
        <v>012</v>
      </c>
      <c r="D357" s="7" t="str">
        <f>"25"</f>
        <v>25</v>
      </c>
      <c r="E357" s="8">
        <v>67.1</v>
      </c>
      <c r="F357" s="7" t="s">
        <v>7</v>
      </c>
    </row>
    <row r="358" s="2" customFormat="1" ht="14.1" customHeight="1" spans="1:6">
      <c r="A358" s="7" t="str">
        <f>"2101601226"</f>
        <v>2101601226</v>
      </c>
      <c r="B358" s="7" t="str">
        <f t="shared" si="21"/>
        <v>2021016</v>
      </c>
      <c r="C358" s="7" t="str">
        <f t="shared" si="20"/>
        <v>012</v>
      </c>
      <c r="D358" s="7" t="str">
        <f>"26"</f>
        <v>26</v>
      </c>
      <c r="E358" s="8">
        <v>0</v>
      </c>
      <c r="F358" s="7" t="s">
        <v>8</v>
      </c>
    </row>
    <row r="359" s="2" customFormat="1" ht="14.1" customHeight="1" spans="1:6">
      <c r="A359" s="7" t="str">
        <f>"2101601227"</f>
        <v>2101601227</v>
      </c>
      <c r="B359" s="7" t="str">
        <f t="shared" si="21"/>
        <v>2021016</v>
      </c>
      <c r="C359" s="7" t="str">
        <f t="shared" si="20"/>
        <v>012</v>
      </c>
      <c r="D359" s="7" t="str">
        <f>"27"</f>
        <v>27</v>
      </c>
      <c r="E359" s="8">
        <v>0</v>
      </c>
      <c r="F359" s="7" t="s">
        <v>8</v>
      </c>
    </row>
    <row r="360" s="2" customFormat="1" ht="14.1" customHeight="1" spans="1:6">
      <c r="A360" s="7" t="str">
        <f>"2101601228"</f>
        <v>2101601228</v>
      </c>
      <c r="B360" s="7" t="str">
        <f t="shared" si="21"/>
        <v>2021016</v>
      </c>
      <c r="C360" s="7" t="str">
        <f t="shared" si="20"/>
        <v>012</v>
      </c>
      <c r="D360" s="7" t="str">
        <f>"28"</f>
        <v>28</v>
      </c>
      <c r="E360" s="8">
        <v>58.9</v>
      </c>
      <c r="F360" s="7" t="s">
        <v>7</v>
      </c>
    </row>
    <row r="361" s="2" customFormat="1" ht="14.1" customHeight="1" spans="1:6">
      <c r="A361" s="7" t="str">
        <f>"2101601229"</f>
        <v>2101601229</v>
      </c>
      <c r="B361" s="7" t="str">
        <f t="shared" si="21"/>
        <v>2021016</v>
      </c>
      <c r="C361" s="7" t="str">
        <f t="shared" si="20"/>
        <v>012</v>
      </c>
      <c r="D361" s="7" t="str">
        <f>"29"</f>
        <v>29</v>
      </c>
      <c r="E361" s="8">
        <v>63</v>
      </c>
      <c r="F361" s="7" t="s">
        <v>7</v>
      </c>
    </row>
    <row r="362" s="2" customFormat="1" ht="14.1" customHeight="1" spans="1:6">
      <c r="A362" s="7" t="str">
        <f>"2101601230"</f>
        <v>2101601230</v>
      </c>
      <c r="B362" s="7" t="str">
        <f t="shared" si="21"/>
        <v>2021016</v>
      </c>
      <c r="C362" s="7" t="str">
        <f t="shared" si="20"/>
        <v>012</v>
      </c>
      <c r="D362" s="7" t="str">
        <f>"30"</f>
        <v>30</v>
      </c>
      <c r="E362" s="8">
        <v>0</v>
      </c>
      <c r="F362" s="7" t="s">
        <v>8</v>
      </c>
    </row>
    <row r="363" s="2" customFormat="1" ht="14.1" customHeight="1" spans="1:6">
      <c r="A363" s="7" t="str">
        <f>"2101601301"</f>
        <v>2101601301</v>
      </c>
      <c r="B363" s="7" t="str">
        <f t="shared" si="21"/>
        <v>2021016</v>
      </c>
      <c r="C363" s="7" t="str">
        <f t="shared" ref="C363:C392" si="22">"013"</f>
        <v>013</v>
      </c>
      <c r="D363" s="7" t="str">
        <f>"01"</f>
        <v>01</v>
      </c>
      <c r="E363" s="8">
        <v>64.5</v>
      </c>
      <c r="F363" s="7" t="s">
        <v>7</v>
      </c>
    </row>
    <row r="364" s="2" customFormat="1" ht="14.1" customHeight="1" spans="1:6">
      <c r="A364" s="7" t="str">
        <f>"2101601302"</f>
        <v>2101601302</v>
      </c>
      <c r="B364" s="7" t="str">
        <f t="shared" si="21"/>
        <v>2021016</v>
      </c>
      <c r="C364" s="7" t="str">
        <f t="shared" si="22"/>
        <v>013</v>
      </c>
      <c r="D364" s="7" t="str">
        <f>"02"</f>
        <v>02</v>
      </c>
      <c r="E364" s="8">
        <v>60.1</v>
      </c>
      <c r="F364" s="7" t="s">
        <v>7</v>
      </c>
    </row>
    <row r="365" s="2" customFormat="1" ht="14.1" customHeight="1" spans="1:6">
      <c r="A365" s="7" t="str">
        <f>"2101601303"</f>
        <v>2101601303</v>
      </c>
      <c r="B365" s="7" t="str">
        <f t="shared" si="21"/>
        <v>2021016</v>
      </c>
      <c r="C365" s="7" t="str">
        <f t="shared" si="22"/>
        <v>013</v>
      </c>
      <c r="D365" s="7" t="str">
        <f>"03"</f>
        <v>03</v>
      </c>
      <c r="E365" s="8">
        <v>0</v>
      </c>
      <c r="F365" s="7" t="s">
        <v>8</v>
      </c>
    </row>
    <row r="366" s="2" customFormat="1" ht="14.1" customHeight="1" spans="1:6">
      <c r="A366" s="7" t="str">
        <f>"2101601304"</f>
        <v>2101601304</v>
      </c>
      <c r="B366" s="7" t="str">
        <f t="shared" si="21"/>
        <v>2021016</v>
      </c>
      <c r="C366" s="7" t="str">
        <f t="shared" si="22"/>
        <v>013</v>
      </c>
      <c r="D366" s="7" t="str">
        <f>"04"</f>
        <v>04</v>
      </c>
      <c r="E366" s="8">
        <v>52.9</v>
      </c>
      <c r="F366" s="7" t="s">
        <v>7</v>
      </c>
    </row>
    <row r="367" s="2" customFormat="1" ht="14.1" customHeight="1" spans="1:6">
      <c r="A367" s="7" t="str">
        <f>"2101601305"</f>
        <v>2101601305</v>
      </c>
      <c r="B367" s="7" t="str">
        <f t="shared" si="21"/>
        <v>2021016</v>
      </c>
      <c r="C367" s="7" t="str">
        <f t="shared" si="22"/>
        <v>013</v>
      </c>
      <c r="D367" s="7" t="str">
        <f>"05"</f>
        <v>05</v>
      </c>
      <c r="E367" s="8">
        <v>51</v>
      </c>
      <c r="F367" s="7" t="s">
        <v>7</v>
      </c>
    </row>
    <row r="368" s="2" customFormat="1" ht="14.1" customHeight="1" spans="1:6">
      <c r="A368" s="7" t="str">
        <f>"2101601306"</f>
        <v>2101601306</v>
      </c>
      <c r="B368" s="7" t="str">
        <f t="shared" si="21"/>
        <v>2021016</v>
      </c>
      <c r="C368" s="7" t="str">
        <f t="shared" si="22"/>
        <v>013</v>
      </c>
      <c r="D368" s="7" t="str">
        <f>"06"</f>
        <v>06</v>
      </c>
      <c r="E368" s="8">
        <v>52</v>
      </c>
      <c r="F368" s="7" t="s">
        <v>7</v>
      </c>
    </row>
    <row r="369" s="2" customFormat="1" ht="14.1" customHeight="1" spans="1:6">
      <c r="A369" s="7" t="str">
        <f>"2101601307"</f>
        <v>2101601307</v>
      </c>
      <c r="B369" s="7" t="str">
        <f t="shared" si="21"/>
        <v>2021016</v>
      </c>
      <c r="C369" s="7" t="str">
        <f t="shared" si="22"/>
        <v>013</v>
      </c>
      <c r="D369" s="7" t="str">
        <f>"07"</f>
        <v>07</v>
      </c>
      <c r="E369" s="8">
        <v>59</v>
      </c>
      <c r="F369" s="7" t="s">
        <v>7</v>
      </c>
    </row>
    <row r="370" s="2" customFormat="1" ht="14.1" customHeight="1" spans="1:6">
      <c r="A370" s="7" t="str">
        <f>"2101601308"</f>
        <v>2101601308</v>
      </c>
      <c r="B370" s="7" t="str">
        <f t="shared" si="21"/>
        <v>2021016</v>
      </c>
      <c r="C370" s="7" t="str">
        <f t="shared" si="22"/>
        <v>013</v>
      </c>
      <c r="D370" s="7" t="str">
        <f>"08"</f>
        <v>08</v>
      </c>
      <c r="E370" s="8">
        <v>0</v>
      </c>
      <c r="F370" s="7" t="s">
        <v>8</v>
      </c>
    </row>
    <row r="371" s="2" customFormat="1" ht="14.1" customHeight="1" spans="1:6">
      <c r="A371" s="7" t="str">
        <f>"2101601309"</f>
        <v>2101601309</v>
      </c>
      <c r="B371" s="7" t="str">
        <f t="shared" si="21"/>
        <v>2021016</v>
      </c>
      <c r="C371" s="7" t="str">
        <f t="shared" si="22"/>
        <v>013</v>
      </c>
      <c r="D371" s="7" t="str">
        <f>"09"</f>
        <v>09</v>
      </c>
      <c r="E371" s="8">
        <v>67</v>
      </c>
      <c r="F371" s="7" t="s">
        <v>7</v>
      </c>
    </row>
    <row r="372" s="2" customFormat="1" ht="14.1" customHeight="1" spans="1:6">
      <c r="A372" s="7" t="str">
        <f>"2101601310"</f>
        <v>2101601310</v>
      </c>
      <c r="B372" s="7" t="str">
        <f t="shared" si="21"/>
        <v>2021016</v>
      </c>
      <c r="C372" s="7" t="str">
        <f t="shared" si="22"/>
        <v>013</v>
      </c>
      <c r="D372" s="7" t="str">
        <f>"10"</f>
        <v>10</v>
      </c>
      <c r="E372" s="8">
        <v>47</v>
      </c>
      <c r="F372" s="7" t="s">
        <v>7</v>
      </c>
    </row>
    <row r="373" s="2" customFormat="1" ht="14.1" customHeight="1" spans="1:6">
      <c r="A373" s="7" t="str">
        <f>"2101601311"</f>
        <v>2101601311</v>
      </c>
      <c r="B373" s="7" t="str">
        <f t="shared" si="21"/>
        <v>2021016</v>
      </c>
      <c r="C373" s="7" t="str">
        <f t="shared" si="22"/>
        <v>013</v>
      </c>
      <c r="D373" s="7" t="str">
        <f>"11"</f>
        <v>11</v>
      </c>
      <c r="E373" s="8">
        <v>68.9</v>
      </c>
      <c r="F373" s="7" t="s">
        <v>7</v>
      </c>
    </row>
    <row r="374" s="2" customFormat="1" ht="14.1" customHeight="1" spans="1:6">
      <c r="A374" s="7" t="str">
        <f>"2101601312"</f>
        <v>2101601312</v>
      </c>
      <c r="B374" s="7" t="str">
        <f t="shared" si="21"/>
        <v>2021016</v>
      </c>
      <c r="C374" s="7" t="str">
        <f t="shared" si="22"/>
        <v>013</v>
      </c>
      <c r="D374" s="7" t="str">
        <f>"12"</f>
        <v>12</v>
      </c>
      <c r="E374" s="8">
        <v>0</v>
      </c>
      <c r="F374" s="7" t="s">
        <v>8</v>
      </c>
    </row>
    <row r="375" s="2" customFormat="1" ht="14.1" customHeight="1" spans="1:6">
      <c r="A375" s="7" t="str">
        <f>"2101601313"</f>
        <v>2101601313</v>
      </c>
      <c r="B375" s="7" t="str">
        <f t="shared" si="21"/>
        <v>2021016</v>
      </c>
      <c r="C375" s="7" t="str">
        <f t="shared" si="22"/>
        <v>013</v>
      </c>
      <c r="D375" s="7" t="str">
        <f>"13"</f>
        <v>13</v>
      </c>
      <c r="E375" s="8">
        <v>70.6</v>
      </c>
      <c r="F375" s="7" t="s">
        <v>7</v>
      </c>
    </row>
    <row r="376" s="2" customFormat="1" ht="14.1" customHeight="1" spans="1:6">
      <c r="A376" s="7" t="str">
        <f>"2101601314"</f>
        <v>2101601314</v>
      </c>
      <c r="B376" s="7" t="str">
        <f t="shared" si="21"/>
        <v>2021016</v>
      </c>
      <c r="C376" s="7" t="str">
        <f t="shared" si="22"/>
        <v>013</v>
      </c>
      <c r="D376" s="7" t="str">
        <f>"14"</f>
        <v>14</v>
      </c>
      <c r="E376" s="8">
        <v>67.3</v>
      </c>
      <c r="F376" s="7" t="s">
        <v>7</v>
      </c>
    </row>
    <row r="377" s="2" customFormat="1" ht="14.1" customHeight="1" spans="1:6">
      <c r="A377" s="7" t="str">
        <f>"2101601315"</f>
        <v>2101601315</v>
      </c>
      <c r="B377" s="7" t="str">
        <f t="shared" si="21"/>
        <v>2021016</v>
      </c>
      <c r="C377" s="7" t="str">
        <f t="shared" si="22"/>
        <v>013</v>
      </c>
      <c r="D377" s="7" t="str">
        <f>"15"</f>
        <v>15</v>
      </c>
      <c r="E377" s="8">
        <v>54.8</v>
      </c>
      <c r="F377" s="7" t="s">
        <v>7</v>
      </c>
    </row>
    <row r="378" s="2" customFormat="1" ht="14.1" customHeight="1" spans="1:6">
      <c r="A378" s="7" t="str">
        <f>"2101601316"</f>
        <v>2101601316</v>
      </c>
      <c r="B378" s="7" t="str">
        <f t="shared" si="21"/>
        <v>2021016</v>
      </c>
      <c r="C378" s="7" t="str">
        <f t="shared" si="22"/>
        <v>013</v>
      </c>
      <c r="D378" s="7" t="str">
        <f>"16"</f>
        <v>16</v>
      </c>
      <c r="E378" s="8">
        <v>58.3</v>
      </c>
      <c r="F378" s="7" t="s">
        <v>7</v>
      </c>
    </row>
    <row r="379" s="2" customFormat="1" ht="14.1" customHeight="1" spans="1:6">
      <c r="A379" s="7" t="str">
        <f>"2101601317"</f>
        <v>2101601317</v>
      </c>
      <c r="B379" s="7" t="str">
        <f t="shared" si="21"/>
        <v>2021016</v>
      </c>
      <c r="C379" s="7" t="str">
        <f t="shared" si="22"/>
        <v>013</v>
      </c>
      <c r="D379" s="7" t="str">
        <f>"17"</f>
        <v>17</v>
      </c>
      <c r="E379" s="8">
        <v>58.8</v>
      </c>
      <c r="F379" s="7" t="s">
        <v>7</v>
      </c>
    </row>
    <row r="380" s="2" customFormat="1" ht="14.1" customHeight="1" spans="1:6">
      <c r="A380" s="7" t="str">
        <f>"2101601318"</f>
        <v>2101601318</v>
      </c>
      <c r="B380" s="7" t="str">
        <f t="shared" si="21"/>
        <v>2021016</v>
      </c>
      <c r="C380" s="7" t="str">
        <f t="shared" si="22"/>
        <v>013</v>
      </c>
      <c r="D380" s="7" t="str">
        <f>"18"</f>
        <v>18</v>
      </c>
      <c r="E380" s="8">
        <v>48.7</v>
      </c>
      <c r="F380" s="7" t="s">
        <v>7</v>
      </c>
    </row>
    <row r="381" s="2" customFormat="1" ht="14.1" customHeight="1" spans="1:6">
      <c r="A381" s="7" t="str">
        <f>"2101601319"</f>
        <v>2101601319</v>
      </c>
      <c r="B381" s="7" t="str">
        <f t="shared" si="21"/>
        <v>2021016</v>
      </c>
      <c r="C381" s="7" t="str">
        <f t="shared" si="22"/>
        <v>013</v>
      </c>
      <c r="D381" s="7" t="str">
        <f>"19"</f>
        <v>19</v>
      </c>
      <c r="E381" s="8">
        <v>0</v>
      </c>
      <c r="F381" s="7" t="s">
        <v>8</v>
      </c>
    </row>
    <row r="382" s="2" customFormat="1" ht="14.1" customHeight="1" spans="1:6">
      <c r="A382" s="7" t="str">
        <f>"2101601320"</f>
        <v>2101601320</v>
      </c>
      <c r="B382" s="7" t="str">
        <f t="shared" si="21"/>
        <v>2021016</v>
      </c>
      <c r="C382" s="7" t="str">
        <f t="shared" si="22"/>
        <v>013</v>
      </c>
      <c r="D382" s="7" t="str">
        <f>"20"</f>
        <v>20</v>
      </c>
      <c r="E382" s="8">
        <v>71.8</v>
      </c>
      <c r="F382" s="7" t="s">
        <v>7</v>
      </c>
    </row>
    <row r="383" s="2" customFormat="1" ht="14.1" customHeight="1" spans="1:6">
      <c r="A383" s="7" t="str">
        <f>"2101601321"</f>
        <v>2101601321</v>
      </c>
      <c r="B383" s="7" t="str">
        <f t="shared" si="21"/>
        <v>2021016</v>
      </c>
      <c r="C383" s="7" t="str">
        <f t="shared" si="22"/>
        <v>013</v>
      </c>
      <c r="D383" s="7" t="str">
        <f>"21"</f>
        <v>21</v>
      </c>
      <c r="E383" s="8">
        <v>63.7</v>
      </c>
      <c r="F383" s="7" t="s">
        <v>7</v>
      </c>
    </row>
    <row r="384" s="2" customFormat="1" ht="14.1" customHeight="1" spans="1:6">
      <c r="A384" s="7" t="str">
        <f>"2101601322"</f>
        <v>2101601322</v>
      </c>
      <c r="B384" s="7" t="str">
        <f t="shared" si="21"/>
        <v>2021016</v>
      </c>
      <c r="C384" s="7" t="str">
        <f t="shared" si="22"/>
        <v>013</v>
      </c>
      <c r="D384" s="7" t="str">
        <f>"22"</f>
        <v>22</v>
      </c>
      <c r="E384" s="8">
        <v>52.1</v>
      </c>
      <c r="F384" s="7" t="s">
        <v>7</v>
      </c>
    </row>
    <row r="385" s="2" customFormat="1" ht="14.1" customHeight="1" spans="1:6">
      <c r="A385" s="7" t="str">
        <f>"2101601323"</f>
        <v>2101601323</v>
      </c>
      <c r="B385" s="7" t="str">
        <f t="shared" si="21"/>
        <v>2021016</v>
      </c>
      <c r="C385" s="7" t="str">
        <f t="shared" si="22"/>
        <v>013</v>
      </c>
      <c r="D385" s="7" t="str">
        <f>"23"</f>
        <v>23</v>
      </c>
      <c r="E385" s="8">
        <v>0</v>
      </c>
      <c r="F385" s="7" t="s">
        <v>8</v>
      </c>
    </row>
    <row r="386" s="2" customFormat="1" ht="14.1" customHeight="1" spans="1:6">
      <c r="A386" s="7" t="str">
        <f>"2101601324"</f>
        <v>2101601324</v>
      </c>
      <c r="B386" s="7" t="str">
        <f t="shared" si="21"/>
        <v>2021016</v>
      </c>
      <c r="C386" s="7" t="str">
        <f t="shared" si="22"/>
        <v>013</v>
      </c>
      <c r="D386" s="7" t="str">
        <f>"24"</f>
        <v>24</v>
      </c>
      <c r="E386" s="8">
        <v>0</v>
      </c>
      <c r="F386" s="7" t="s">
        <v>8</v>
      </c>
    </row>
    <row r="387" s="2" customFormat="1" ht="14.1" customHeight="1" spans="1:6">
      <c r="A387" s="7" t="str">
        <f>"2101601325"</f>
        <v>2101601325</v>
      </c>
      <c r="B387" s="7" t="str">
        <f t="shared" si="21"/>
        <v>2021016</v>
      </c>
      <c r="C387" s="7" t="str">
        <f t="shared" si="22"/>
        <v>013</v>
      </c>
      <c r="D387" s="7" t="str">
        <f>"25"</f>
        <v>25</v>
      </c>
      <c r="E387" s="8">
        <v>60.9</v>
      </c>
      <c r="F387" s="7" t="s">
        <v>7</v>
      </c>
    </row>
    <row r="388" s="2" customFormat="1" ht="14.1" customHeight="1" spans="1:6">
      <c r="A388" s="7" t="str">
        <f>"2101601326"</f>
        <v>2101601326</v>
      </c>
      <c r="B388" s="7" t="str">
        <f t="shared" si="21"/>
        <v>2021016</v>
      </c>
      <c r="C388" s="7" t="str">
        <f t="shared" si="22"/>
        <v>013</v>
      </c>
      <c r="D388" s="7" t="str">
        <f>"26"</f>
        <v>26</v>
      </c>
      <c r="E388" s="8">
        <v>71.1</v>
      </c>
      <c r="F388" s="7" t="s">
        <v>7</v>
      </c>
    </row>
    <row r="389" s="2" customFormat="1" ht="14.1" customHeight="1" spans="1:6">
      <c r="A389" s="7" t="str">
        <f>"2101601327"</f>
        <v>2101601327</v>
      </c>
      <c r="B389" s="7" t="str">
        <f t="shared" si="21"/>
        <v>2021016</v>
      </c>
      <c r="C389" s="7" t="str">
        <f t="shared" si="22"/>
        <v>013</v>
      </c>
      <c r="D389" s="7" t="str">
        <f>"27"</f>
        <v>27</v>
      </c>
      <c r="E389" s="8">
        <v>61.1</v>
      </c>
      <c r="F389" s="7" t="s">
        <v>7</v>
      </c>
    </row>
    <row r="390" s="2" customFormat="1" ht="14.1" customHeight="1" spans="1:6">
      <c r="A390" s="7" t="str">
        <f>"2101601328"</f>
        <v>2101601328</v>
      </c>
      <c r="B390" s="7" t="str">
        <f t="shared" si="21"/>
        <v>2021016</v>
      </c>
      <c r="C390" s="7" t="str">
        <f t="shared" si="22"/>
        <v>013</v>
      </c>
      <c r="D390" s="7" t="str">
        <f>"28"</f>
        <v>28</v>
      </c>
      <c r="E390" s="8">
        <v>61.1</v>
      </c>
      <c r="F390" s="7" t="s">
        <v>7</v>
      </c>
    </row>
    <row r="391" s="2" customFormat="1" ht="14.1" customHeight="1" spans="1:6">
      <c r="A391" s="7" t="str">
        <f>"2101601329"</f>
        <v>2101601329</v>
      </c>
      <c r="B391" s="7" t="str">
        <f t="shared" si="21"/>
        <v>2021016</v>
      </c>
      <c r="C391" s="7" t="str">
        <f t="shared" si="22"/>
        <v>013</v>
      </c>
      <c r="D391" s="7" t="str">
        <f>"29"</f>
        <v>29</v>
      </c>
      <c r="E391" s="8">
        <v>53</v>
      </c>
      <c r="F391" s="7" t="s">
        <v>7</v>
      </c>
    </row>
    <row r="392" s="2" customFormat="1" ht="14.1" customHeight="1" spans="1:6">
      <c r="A392" s="7" t="str">
        <f>"2101601330"</f>
        <v>2101601330</v>
      </c>
      <c r="B392" s="7" t="str">
        <f t="shared" si="21"/>
        <v>2021016</v>
      </c>
      <c r="C392" s="7" t="str">
        <f t="shared" si="22"/>
        <v>013</v>
      </c>
      <c r="D392" s="7" t="str">
        <f>"30"</f>
        <v>30</v>
      </c>
      <c r="E392" s="8">
        <v>58.2</v>
      </c>
      <c r="F392" s="7" t="s">
        <v>7</v>
      </c>
    </row>
    <row r="393" s="2" customFormat="1" ht="14.1" customHeight="1" spans="1:6">
      <c r="A393" s="7" t="str">
        <f>"2101601401"</f>
        <v>2101601401</v>
      </c>
      <c r="B393" s="7" t="str">
        <f t="shared" si="21"/>
        <v>2021016</v>
      </c>
      <c r="C393" s="7" t="str">
        <f t="shared" ref="C393:C422" si="23">"014"</f>
        <v>014</v>
      </c>
      <c r="D393" s="7" t="str">
        <f>"01"</f>
        <v>01</v>
      </c>
      <c r="E393" s="8">
        <v>0</v>
      </c>
      <c r="F393" s="7" t="s">
        <v>8</v>
      </c>
    </row>
    <row r="394" s="2" customFormat="1" ht="14.1" customHeight="1" spans="1:6">
      <c r="A394" s="7" t="str">
        <f>"2101601402"</f>
        <v>2101601402</v>
      </c>
      <c r="B394" s="7" t="str">
        <f t="shared" si="21"/>
        <v>2021016</v>
      </c>
      <c r="C394" s="7" t="str">
        <f t="shared" si="23"/>
        <v>014</v>
      </c>
      <c r="D394" s="7" t="str">
        <f>"02"</f>
        <v>02</v>
      </c>
      <c r="E394" s="8">
        <v>0</v>
      </c>
      <c r="F394" s="7" t="s">
        <v>8</v>
      </c>
    </row>
    <row r="395" s="2" customFormat="1" ht="14.1" customHeight="1" spans="1:6">
      <c r="A395" s="7" t="str">
        <f>"2101601403"</f>
        <v>2101601403</v>
      </c>
      <c r="B395" s="7" t="str">
        <f t="shared" si="21"/>
        <v>2021016</v>
      </c>
      <c r="C395" s="7" t="str">
        <f t="shared" si="23"/>
        <v>014</v>
      </c>
      <c r="D395" s="7" t="str">
        <f>"03"</f>
        <v>03</v>
      </c>
      <c r="E395" s="8">
        <v>0</v>
      </c>
      <c r="F395" s="7" t="s">
        <v>8</v>
      </c>
    </row>
    <row r="396" s="2" customFormat="1" ht="14.1" customHeight="1" spans="1:6">
      <c r="A396" s="7" t="str">
        <f>"2101601404"</f>
        <v>2101601404</v>
      </c>
      <c r="B396" s="7" t="str">
        <f t="shared" si="21"/>
        <v>2021016</v>
      </c>
      <c r="C396" s="7" t="str">
        <f t="shared" si="23"/>
        <v>014</v>
      </c>
      <c r="D396" s="7" t="str">
        <f>"04"</f>
        <v>04</v>
      </c>
      <c r="E396" s="8">
        <v>57.5</v>
      </c>
      <c r="F396" s="7" t="s">
        <v>7</v>
      </c>
    </row>
    <row r="397" s="2" customFormat="1" ht="14.1" customHeight="1" spans="1:6">
      <c r="A397" s="7" t="str">
        <f>"2101601405"</f>
        <v>2101601405</v>
      </c>
      <c r="B397" s="7" t="str">
        <f t="shared" si="21"/>
        <v>2021016</v>
      </c>
      <c r="C397" s="7" t="str">
        <f t="shared" si="23"/>
        <v>014</v>
      </c>
      <c r="D397" s="7" t="str">
        <f>"05"</f>
        <v>05</v>
      </c>
      <c r="E397" s="8">
        <v>0</v>
      </c>
      <c r="F397" s="7" t="s">
        <v>8</v>
      </c>
    </row>
    <row r="398" s="2" customFormat="1" ht="14.1" customHeight="1" spans="1:6">
      <c r="A398" s="7" t="str">
        <f>"2101601406"</f>
        <v>2101601406</v>
      </c>
      <c r="B398" s="7" t="str">
        <f t="shared" si="21"/>
        <v>2021016</v>
      </c>
      <c r="C398" s="7" t="str">
        <f t="shared" si="23"/>
        <v>014</v>
      </c>
      <c r="D398" s="7" t="str">
        <f>"06"</f>
        <v>06</v>
      </c>
      <c r="E398" s="8">
        <v>0</v>
      </c>
      <c r="F398" s="7" t="s">
        <v>8</v>
      </c>
    </row>
    <row r="399" s="2" customFormat="1" ht="14.1" customHeight="1" spans="1:6">
      <c r="A399" s="7" t="str">
        <f>"2101601407"</f>
        <v>2101601407</v>
      </c>
      <c r="B399" s="7" t="str">
        <f t="shared" si="21"/>
        <v>2021016</v>
      </c>
      <c r="C399" s="7" t="str">
        <f t="shared" si="23"/>
        <v>014</v>
      </c>
      <c r="D399" s="7" t="str">
        <f>"07"</f>
        <v>07</v>
      </c>
      <c r="E399" s="8">
        <v>40.2</v>
      </c>
      <c r="F399" s="7" t="s">
        <v>7</v>
      </c>
    </row>
    <row r="400" s="2" customFormat="1" ht="14.1" customHeight="1" spans="1:6">
      <c r="A400" s="7" t="str">
        <f>"2101601408"</f>
        <v>2101601408</v>
      </c>
      <c r="B400" s="7" t="str">
        <f t="shared" si="21"/>
        <v>2021016</v>
      </c>
      <c r="C400" s="7" t="str">
        <f t="shared" si="23"/>
        <v>014</v>
      </c>
      <c r="D400" s="7" t="str">
        <f>"08"</f>
        <v>08</v>
      </c>
      <c r="E400" s="8">
        <v>0</v>
      </c>
      <c r="F400" s="7" t="s">
        <v>8</v>
      </c>
    </row>
    <row r="401" s="2" customFormat="1" ht="14.1" customHeight="1" spans="1:6">
      <c r="A401" s="7" t="str">
        <f>"2101601409"</f>
        <v>2101601409</v>
      </c>
      <c r="B401" s="7" t="str">
        <f t="shared" si="21"/>
        <v>2021016</v>
      </c>
      <c r="C401" s="7" t="str">
        <f t="shared" si="23"/>
        <v>014</v>
      </c>
      <c r="D401" s="7" t="str">
        <f>"09"</f>
        <v>09</v>
      </c>
      <c r="E401" s="8">
        <v>64</v>
      </c>
      <c r="F401" s="7" t="s">
        <v>7</v>
      </c>
    </row>
    <row r="402" s="2" customFormat="1" ht="14.1" customHeight="1" spans="1:6">
      <c r="A402" s="7" t="str">
        <f>"2101601410"</f>
        <v>2101601410</v>
      </c>
      <c r="B402" s="7" t="str">
        <f t="shared" si="21"/>
        <v>2021016</v>
      </c>
      <c r="C402" s="7" t="str">
        <f t="shared" si="23"/>
        <v>014</v>
      </c>
      <c r="D402" s="7" t="str">
        <f>"10"</f>
        <v>10</v>
      </c>
      <c r="E402" s="8">
        <v>53.3</v>
      </c>
      <c r="F402" s="7" t="s">
        <v>7</v>
      </c>
    </row>
    <row r="403" s="2" customFormat="1" ht="14.1" customHeight="1" spans="1:6">
      <c r="A403" s="7" t="str">
        <f>"2101601411"</f>
        <v>2101601411</v>
      </c>
      <c r="B403" s="7" t="str">
        <f t="shared" si="21"/>
        <v>2021016</v>
      </c>
      <c r="C403" s="7" t="str">
        <f t="shared" si="23"/>
        <v>014</v>
      </c>
      <c r="D403" s="7" t="str">
        <f>"11"</f>
        <v>11</v>
      </c>
      <c r="E403" s="8">
        <v>64.7</v>
      </c>
      <c r="F403" s="7" t="s">
        <v>7</v>
      </c>
    </row>
    <row r="404" s="2" customFormat="1" ht="14.1" customHeight="1" spans="1:6">
      <c r="A404" s="7" t="str">
        <f>"2101601412"</f>
        <v>2101601412</v>
      </c>
      <c r="B404" s="7" t="str">
        <f t="shared" si="21"/>
        <v>2021016</v>
      </c>
      <c r="C404" s="7" t="str">
        <f t="shared" si="23"/>
        <v>014</v>
      </c>
      <c r="D404" s="7" t="str">
        <f>"12"</f>
        <v>12</v>
      </c>
      <c r="E404" s="8">
        <v>57.3</v>
      </c>
      <c r="F404" s="7" t="s">
        <v>7</v>
      </c>
    </row>
    <row r="405" s="2" customFormat="1" ht="14.1" customHeight="1" spans="1:6">
      <c r="A405" s="7" t="str">
        <f>"2101601413"</f>
        <v>2101601413</v>
      </c>
      <c r="B405" s="7" t="str">
        <f t="shared" si="21"/>
        <v>2021016</v>
      </c>
      <c r="C405" s="7" t="str">
        <f t="shared" si="23"/>
        <v>014</v>
      </c>
      <c r="D405" s="7" t="str">
        <f>"13"</f>
        <v>13</v>
      </c>
      <c r="E405" s="8">
        <v>57.6</v>
      </c>
      <c r="F405" s="7" t="s">
        <v>7</v>
      </c>
    </row>
    <row r="406" s="2" customFormat="1" ht="14.1" customHeight="1" spans="1:6">
      <c r="A406" s="7" t="str">
        <f>"2101601414"</f>
        <v>2101601414</v>
      </c>
      <c r="B406" s="7" t="str">
        <f t="shared" si="21"/>
        <v>2021016</v>
      </c>
      <c r="C406" s="7" t="str">
        <f t="shared" si="23"/>
        <v>014</v>
      </c>
      <c r="D406" s="7" t="str">
        <f>"14"</f>
        <v>14</v>
      </c>
      <c r="E406" s="8">
        <v>0</v>
      </c>
      <c r="F406" s="7" t="s">
        <v>8</v>
      </c>
    </row>
    <row r="407" s="2" customFormat="1" ht="14.1" customHeight="1" spans="1:6">
      <c r="A407" s="7" t="str">
        <f>"2101601415"</f>
        <v>2101601415</v>
      </c>
      <c r="B407" s="7" t="str">
        <f t="shared" si="21"/>
        <v>2021016</v>
      </c>
      <c r="C407" s="7" t="str">
        <f t="shared" si="23"/>
        <v>014</v>
      </c>
      <c r="D407" s="7" t="str">
        <f>"15"</f>
        <v>15</v>
      </c>
      <c r="E407" s="8">
        <v>60.4</v>
      </c>
      <c r="F407" s="7" t="s">
        <v>7</v>
      </c>
    </row>
    <row r="408" s="2" customFormat="1" ht="14.1" customHeight="1" spans="1:6">
      <c r="A408" s="7" t="str">
        <f>"2101601416"</f>
        <v>2101601416</v>
      </c>
      <c r="B408" s="7" t="str">
        <f t="shared" ref="B408:B471" si="24">"2021016"</f>
        <v>2021016</v>
      </c>
      <c r="C408" s="7" t="str">
        <f t="shared" si="23"/>
        <v>014</v>
      </c>
      <c r="D408" s="7" t="str">
        <f>"16"</f>
        <v>16</v>
      </c>
      <c r="E408" s="8">
        <v>51</v>
      </c>
      <c r="F408" s="7" t="s">
        <v>7</v>
      </c>
    </row>
    <row r="409" s="2" customFormat="1" ht="14.1" customHeight="1" spans="1:6">
      <c r="A409" s="7" t="str">
        <f>"2101601417"</f>
        <v>2101601417</v>
      </c>
      <c r="B409" s="7" t="str">
        <f t="shared" si="24"/>
        <v>2021016</v>
      </c>
      <c r="C409" s="7" t="str">
        <f t="shared" si="23"/>
        <v>014</v>
      </c>
      <c r="D409" s="7" t="str">
        <f>"17"</f>
        <v>17</v>
      </c>
      <c r="E409" s="8">
        <v>69.6</v>
      </c>
      <c r="F409" s="7" t="s">
        <v>7</v>
      </c>
    </row>
    <row r="410" s="2" customFormat="1" ht="14.1" customHeight="1" spans="1:6">
      <c r="A410" s="7" t="str">
        <f>"2101601418"</f>
        <v>2101601418</v>
      </c>
      <c r="B410" s="7" t="str">
        <f t="shared" si="24"/>
        <v>2021016</v>
      </c>
      <c r="C410" s="7" t="str">
        <f t="shared" si="23"/>
        <v>014</v>
      </c>
      <c r="D410" s="7" t="str">
        <f>"18"</f>
        <v>18</v>
      </c>
      <c r="E410" s="8">
        <v>0</v>
      </c>
      <c r="F410" s="7" t="s">
        <v>8</v>
      </c>
    </row>
    <row r="411" s="2" customFormat="1" ht="14.1" customHeight="1" spans="1:6">
      <c r="A411" s="7" t="str">
        <f>"2101601419"</f>
        <v>2101601419</v>
      </c>
      <c r="B411" s="7" t="str">
        <f t="shared" si="24"/>
        <v>2021016</v>
      </c>
      <c r="C411" s="7" t="str">
        <f t="shared" si="23"/>
        <v>014</v>
      </c>
      <c r="D411" s="7" t="str">
        <f>"19"</f>
        <v>19</v>
      </c>
      <c r="E411" s="8">
        <v>67.5</v>
      </c>
      <c r="F411" s="7" t="s">
        <v>7</v>
      </c>
    </row>
    <row r="412" s="2" customFormat="1" ht="14.1" customHeight="1" spans="1:6">
      <c r="A412" s="7" t="str">
        <f>"2101601420"</f>
        <v>2101601420</v>
      </c>
      <c r="B412" s="7" t="str">
        <f t="shared" si="24"/>
        <v>2021016</v>
      </c>
      <c r="C412" s="7" t="str">
        <f t="shared" si="23"/>
        <v>014</v>
      </c>
      <c r="D412" s="7" t="str">
        <f>"20"</f>
        <v>20</v>
      </c>
      <c r="E412" s="8">
        <v>0</v>
      </c>
      <c r="F412" s="7" t="s">
        <v>8</v>
      </c>
    </row>
    <row r="413" s="2" customFormat="1" ht="14.1" customHeight="1" spans="1:6">
      <c r="A413" s="7" t="str">
        <f>"2101601421"</f>
        <v>2101601421</v>
      </c>
      <c r="B413" s="7" t="str">
        <f t="shared" si="24"/>
        <v>2021016</v>
      </c>
      <c r="C413" s="7" t="str">
        <f t="shared" si="23"/>
        <v>014</v>
      </c>
      <c r="D413" s="7" t="str">
        <f>"21"</f>
        <v>21</v>
      </c>
      <c r="E413" s="8">
        <v>0</v>
      </c>
      <c r="F413" s="7" t="s">
        <v>8</v>
      </c>
    </row>
    <row r="414" s="2" customFormat="1" ht="14.1" customHeight="1" spans="1:6">
      <c r="A414" s="7" t="str">
        <f>"2101601422"</f>
        <v>2101601422</v>
      </c>
      <c r="B414" s="7" t="str">
        <f t="shared" si="24"/>
        <v>2021016</v>
      </c>
      <c r="C414" s="7" t="str">
        <f t="shared" si="23"/>
        <v>014</v>
      </c>
      <c r="D414" s="7" t="str">
        <f>"22"</f>
        <v>22</v>
      </c>
      <c r="E414" s="8">
        <v>64.3</v>
      </c>
      <c r="F414" s="7" t="s">
        <v>7</v>
      </c>
    </row>
    <row r="415" s="2" customFormat="1" ht="14.1" customHeight="1" spans="1:6">
      <c r="A415" s="7" t="str">
        <f>"2101601423"</f>
        <v>2101601423</v>
      </c>
      <c r="B415" s="7" t="str">
        <f t="shared" si="24"/>
        <v>2021016</v>
      </c>
      <c r="C415" s="7" t="str">
        <f t="shared" si="23"/>
        <v>014</v>
      </c>
      <c r="D415" s="7" t="str">
        <f>"23"</f>
        <v>23</v>
      </c>
      <c r="E415" s="8">
        <v>0</v>
      </c>
      <c r="F415" s="7" t="s">
        <v>8</v>
      </c>
    </row>
    <row r="416" s="2" customFormat="1" ht="14.1" customHeight="1" spans="1:6">
      <c r="A416" s="7" t="str">
        <f>"2101601424"</f>
        <v>2101601424</v>
      </c>
      <c r="B416" s="7" t="str">
        <f t="shared" si="24"/>
        <v>2021016</v>
      </c>
      <c r="C416" s="7" t="str">
        <f t="shared" si="23"/>
        <v>014</v>
      </c>
      <c r="D416" s="7" t="str">
        <f>"24"</f>
        <v>24</v>
      </c>
      <c r="E416" s="8">
        <v>61.6</v>
      </c>
      <c r="F416" s="7" t="s">
        <v>7</v>
      </c>
    </row>
    <row r="417" s="2" customFormat="1" ht="14.1" customHeight="1" spans="1:6">
      <c r="A417" s="7" t="str">
        <f>"2101601425"</f>
        <v>2101601425</v>
      </c>
      <c r="B417" s="7" t="str">
        <f t="shared" si="24"/>
        <v>2021016</v>
      </c>
      <c r="C417" s="7" t="str">
        <f t="shared" si="23"/>
        <v>014</v>
      </c>
      <c r="D417" s="7" t="str">
        <f>"25"</f>
        <v>25</v>
      </c>
      <c r="E417" s="8">
        <v>65.3</v>
      </c>
      <c r="F417" s="7" t="s">
        <v>7</v>
      </c>
    </row>
    <row r="418" s="2" customFormat="1" ht="14.1" customHeight="1" spans="1:6">
      <c r="A418" s="7" t="str">
        <f>"2101601426"</f>
        <v>2101601426</v>
      </c>
      <c r="B418" s="7" t="str">
        <f t="shared" si="24"/>
        <v>2021016</v>
      </c>
      <c r="C418" s="7" t="str">
        <f t="shared" si="23"/>
        <v>014</v>
      </c>
      <c r="D418" s="7" t="str">
        <f>"26"</f>
        <v>26</v>
      </c>
      <c r="E418" s="8">
        <v>45.4</v>
      </c>
      <c r="F418" s="7" t="s">
        <v>7</v>
      </c>
    </row>
    <row r="419" s="2" customFormat="1" ht="14.1" customHeight="1" spans="1:6">
      <c r="A419" s="7" t="str">
        <f>"2101601427"</f>
        <v>2101601427</v>
      </c>
      <c r="B419" s="7" t="str">
        <f t="shared" si="24"/>
        <v>2021016</v>
      </c>
      <c r="C419" s="7" t="str">
        <f t="shared" si="23"/>
        <v>014</v>
      </c>
      <c r="D419" s="7" t="str">
        <f>"27"</f>
        <v>27</v>
      </c>
      <c r="E419" s="8">
        <v>61.7</v>
      </c>
      <c r="F419" s="7" t="s">
        <v>7</v>
      </c>
    </row>
    <row r="420" s="2" customFormat="1" ht="14.1" customHeight="1" spans="1:6">
      <c r="A420" s="7" t="str">
        <f>"2101601428"</f>
        <v>2101601428</v>
      </c>
      <c r="B420" s="7" t="str">
        <f t="shared" si="24"/>
        <v>2021016</v>
      </c>
      <c r="C420" s="7" t="str">
        <f t="shared" si="23"/>
        <v>014</v>
      </c>
      <c r="D420" s="7" t="str">
        <f>"28"</f>
        <v>28</v>
      </c>
      <c r="E420" s="8">
        <v>0</v>
      </c>
      <c r="F420" s="7" t="s">
        <v>8</v>
      </c>
    </row>
    <row r="421" s="2" customFormat="1" ht="14.1" customHeight="1" spans="1:6">
      <c r="A421" s="7" t="str">
        <f>"2101601429"</f>
        <v>2101601429</v>
      </c>
      <c r="B421" s="7" t="str">
        <f t="shared" si="24"/>
        <v>2021016</v>
      </c>
      <c r="C421" s="7" t="str">
        <f t="shared" si="23"/>
        <v>014</v>
      </c>
      <c r="D421" s="7" t="str">
        <f>"29"</f>
        <v>29</v>
      </c>
      <c r="E421" s="8">
        <v>57.1</v>
      </c>
      <c r="F421" s="7" t="s">
        <v>7</v>
      </c>
    </row>
    <row r="422" s="2" customFormat="1" ht="14.1" customHeight="1" spans="1:6">
      <c r="A422" s="7" t="str">
        <f>"2101601430"</f>
        <v>2101601430</v>
      </c>
      <c r="B422" s="7" t="str">
        <f t="shared" si="24"/>
        <v>2021016</v>
      </c>
      <c r="C422" s="7" t="str">
        <f t="shared" si="23"/>
        <v>014</v>
      </c>
      <c r="D422" s="7" t="str">
        <f>"30"</f>
        <v>30</v>
      </c>
      <c r="E422" s="8">
        <v>0</v>
      </c>
      <c r="F422" s="7" t="s">
        <v>8</v>
      </c>
    </row>
    <row r="423" s="2" customFormat="1" ht="14.1" customHeight="1" spans="1:6">
      <c r="A423" s="7" t="str">
        <f>"2101601501"</f>
        <v>2101601501</v>
      </c>
      <c r="B423" s="7" t="str">
        <f t="shared" si="24"/>
        <v>2021016</v>
      </c>
      <c r="C423" s="7" t="str">
        <f t="shared" ref="C423:C452" si="25">"015"</f>
        <v>015</v>
      </c>
      <c r="D423" s="7" t="str">
        <f>"01"</f>
        <v>01</v>
      </c>
      <c r="E423" s="8">
        <v>40.7</v>
      </c>
      <c r="F423" s="7" t="s">
        <v>7</v>
      </c>
    </row>
    <row r="424" s="2" customFormat="1" ht="14.1" customHeight="1" spans="1:6">
      <c r="A424" s="7" t="str">
        <f>"2101601502"</f>
        <v>2101601502</v>
      </c>
      <c r="B424" s="7" t="str">
        <f t="shared" si="24"/>
        <v>2021016</v>
      </c>
      <c r="C424" s="7" t="str">
        <f t="shared" si="25"/>
        <v>015</v>
      </c>
      <c r="D424" s="7" t="str">
        <f>"02"</f>
        <v>02</v>
      </c>
      <c r="E424" s="8">
        <v>56.6</v>
      </c>
      <c r="F424" s="7" t="s">
        <v>7</v>
      </c>
    </row>
    <row r="425" s="2" customFormat="1" ht="14.1" customHeight="1" spans="1:6">
      <c r="A425" s="7" t="str">
        <f>"2101601503"</f>
        <v>2101601503</v>
      </c>
      <c r="B425" s="7" t="str">
        <f t="shared" si="24"/>
        <v>2021016</v>
      </c>
      <c r="C425" s="7" t="str">
        <f t="shared" si="25"/>
        <v>015</v>
      </c>
      <c r="D425" s="7" t="str">
        <f>"03"</f>
        <v>03</v>
      </c>
      <c r="E425" s="8">
        <v>0</v>
      </c>
      <c r="F425" s="7" t="s">
        <v>8</v>
      </c>
    </row>
    <row r="426" s="2" customFormat="1" ht="14.1" customHeight="1" spans="1:6">
      <c r="A426" s="7" t="str">
        <f>"2101601504"</f>
        <v>2101601504</v>
      </c>
      <c r="B426" s="7" t="str">
        <f t="shared" si="24"/>
        <v>2021016</v>
      </c>
      <c r="C426" s="7" t="str">
        <f t="shared" si="25"/>
        <v>015</v>
      </c>
      <c r="D426" s="7" t="str">
        <f>"04"</f>
        <v>04</v>
      </c>
      <c r="E426" s="8">
        <v>0</v>
      </c>
      <c r="F426" s="7" t="s">
        <v>8</v>
      </c>
    </row>
    <row r="427" s="2" customFormat="1" ht="14.1" customHeight="1" spans="1:6">
      <c r="A427" s="7" t="str">
        <f>"2101601505"</f>
        <v>2101601505</v>
      </c>
      <c r="B427" s="7" t="str">
        <f t="shared" si="24"/>
        <v>2021016</v>
      </c>
      <c r="C427" s="7" t="str">
        <f t="shared" si="25"/>
        <v>015</v>
      </c>
      <c r="D427" s="7" t="str">
        <f>"05"</f>
        <v>05</v>
      </c>
      <c r="E427" s="8">
        <v>56.2</v>
      </c>
      <c r="F427" s="7" t="s">
        <v>7</v>
      </c>
    </row>
    <row r="428" s="2" customFormat="1" ht="14.1" customHeight="1" spans="1:6">
      <c r="A428" s="7" t="str">
        <f>"2101601506"</f>
        <v>2101601506</v>
      </c>
      <c r="B428" s="7" t="str">
        <f t="shared" si="24"/>
        <v>2021016</v>
      </c>
      <c r="C428" s="7" t="str">
        <f t="shared" si="25"/>
        <v>015</v>
      </c>
      <c r="D428" s="7" t="str">
        <f>"06"</f>
        <v>06</v>
      </c>
      <c r="E428" s="8">
        <v>0</v>
      </c>
      <c r="F428" s="7" t="s">
        <v>8</v>
      </c>
    </row>
    <row r="429" s="2" customFormat="1" ht="14.1" customHeight="1" spans="1:6">
      <c r="A429" s="7" t="str">
        <f>"2101601507"</f>
        <v>2101601507</v>
      </c>
      <c r="B429" s="7" t="str">
        <f t="shared" si="24"/>
        <v>2021016</v>
      </c>
      <c r="C429" s="7" t="str">
        <f t="shared" si="25"/>
        <v>015</v>
      </c>
      <c r="D429" s="7" t="str">
        <f>"07"</f>
        <v>07</v>
      </c>
      <c r="E429" s="8">
        <v>59.6</v>
      </c>
      <c r="F429" s="7" t="s">
        <v>7</v>
      </c>
    </row>
    <row r="430" s="2" customFormat="1" ht="14.1" customHeight="1" spans="1:6">
      <c r="A430" s="7" t="str">
        <f>"2101601508"</f>
        <v>2101601508</v>
      </c>
      <c r="B430" s="7" t="str">
        <f t="shared" si="24"/>
        <v>2021016</v>
      </c>
      <c r="C430" s="7" t="str">
        <f t="shared" si="25"/>
        <v>015</v>
      </c>
      <c r="D430" s="7" t="str">
        <f>"08"</f>
        <v>08</v>
      </c>
      <c r="E430" s="8">
        <v>45.2</v>
      </c>
      <c r="F430" s="7" t="s">
        <v>7</v>
      </c>
    </row>
    <row r="431" s="2" customFormat="1" ht="14.1" customHeight="1" spans="1:6">
      <c r="A431" s="7" t="str">
        <f>"2101601509"</f>
        <v>2101601509</v>
      </c>
      <c r="B431" s="7" t="str">
        <f t="shared" si="24"/>
        <v>2021016</v>
      </c>
      <c r="C431" s="7" t="str">
        <f t="shared" si="25"/>
        <v>015</v>
      </c>
      <c r="D431" s="7" t="str">
        <f>"09"</f>
        <v>09</v>
      </c>
      <c r="E431" s="8">
        <v>0</v>
      </c>
      <c r="F431" s="7" t="s">
        <v>8</v>
      </c>
    </row>
    <row r="432" s="2" customFormat="1" ht="14.1" customHeight="1" spans="1:6">
      <c r="A432" s="7" t="str">
        <f>"2101601510"</f>
        <v>2101601510</v>
      </c>
      <c r="B432" s="7" t="str">
        <f t="shared" si="24"/>
        <v>2021016</v>
      </c>
      <c r="C432" s="7" t="str">
        <f t="shared" si="25"/>
        <v>015</v>
      </c>
      <c r="D432" s="7" t="str">
        <f>"10"</f>
        <v>10</v>
      </c>
      <c r="E432" s="8">
        <v>0</v>
      </c>
      <c r="F432" s="7" t="s">
        <v>8</v>
      </c>
    </row>
    <row r="433" s="2" customFormat="1" ht="14.1" customHeight="1" spans="1:6">
      <c r="A433" s="7" t="str">
        <f>"2101601511"</f>
        <v>2101601511</v>
      </c>
      <c r="B433" s="7" t="str">
        <f t="shared" si="24"/>
        <v>2021016</v>
      </c>
      <c r="C433" s="7" t="str">
        <f t="shared" si="25"/>
        <v>015</v>
      </c>
      <c r="D433" s="7" t="str">
        <f>"11"</f>
        <v>11</v>
      </c>
      <c r="E433" s="8">
        <v>67.2</v>
      </c>
      <c r="F433" s="7" t="s">
        <v>7</v>
      </c>
    </row>
    <row r="434" s="2" customFormat="1" ht="14.1" customHeight="1" spans="1:6">
      <c r="A434" s="7" t="str">
        <f>"2101601512"</f>
        <v>2101601512</v>
      </c>
      <c r="B434" s="7" t="str">
        <f t="shared" si="24"/>
        <v>2021016</v>
      </c>
      <c r="C434" s="7" t="str">
        <f t="shared" si="25"/>
        <v>015</v>
      </c>
      <c r="D434" s="7" t="str">
        <f>"12"</f>
        <v>12</v>
      </c>
      <c r="E434" s="8">
        <v>0</v>
      </c>
      <c r="F434" s="7" t="s">
        <v>8</v>
      </c>
    </row>
    <row r="435" s="2" customFormat="1" ht="14.1" customHeight="1" spans="1:6">
      <c r="A435" s="7" t="str">
        <f>"2101601513"</f>
        <v>2101601513</v>
      </c>
      <c r="B435" s="7" t="str">
        <f t="shared" si="24"/>
        <v>2021016</v>
      </c>
      <c r="C435" s="7" t="str">
        <f t="shared" si="25"/>
        <v>015</v>
      </c>
      <c r="D435" s="7" t="str">
        <f>"13"</f>
        <v>13</v>
      </c>
      <c r="E435" s="8">
        <v>0</v>
      </c>
      <c r="F435" s="7" t="s">
        <v>8</v>
      </c>
    </row>
    <row r="436" s="2" customFormat="1" ht="14.1" customHeight="1" spans="1:6">
      <c r="A436" s="7" t="str">
        <f>"2101601514"</f>
        <v>2101601514</v>
      </c>
      <c r="B436" s="7" t="str">
        <f t="shared" si="24"/>
        <v>2021016</v>
      </c>
      <c r="C436" s="7" t="str">
        <f t="shared" si="25"/>
        <v>015</v>
      </c>
      <c r="D436" s="7" t="str">
        <f>"14"</f>
        <v>14</v>
      </c>
      <c r="E436" s="8">
        <v>58.6</v>
      </c>
      <c r="F436" s="7" t="s">
        <v>7</v>
      </c>
    </row>
    <row r="437" s="2" customFormat="1" ht="14.1" customHeight="1" spans="1:6">
      <c r="A437" s="7" t="str">
        <f>"2101601515"</f>
        <v>2101601515</v>
      </c>
      <c r="B437" s="7" t="str">
        <f t="shared" si="24"/>
        <v>2021016</v>
      </c>
      <c r="C437" s="7" t="str">
        <f t="shared" si="25"/>
        <v>015</v>
      </c>
      <c r="D437" s="7" t="str">
        <f>"15"</f>
        <v>15</v>
      </c>
      <c r="E437" s="8">
        <v>0</v>
      </c>
      <c r="F437" s="7" t="s">
        <v>8</v>
      </c>
    </row>
    <row r="438" s="2" customFormat="1" ht="14.1" customHeight="1" spans="1:6">
      <c r="A438" s="7" t="str">
        <f>"2101601516"</f>
        <v>2101601516</v>
      </c>
      <c r="B438" s="7" t="str">
        <f t="shared" si="24"/>
        <v>2021016</v>
      </c>
      <c r="C438" s="7" t="str">
        <f t="shared" si="25"/>
        <v>015</v>
      </c>
      <c r="D438" s="7" t="str">
        <f>"16"</f>
        <v>16</v>
      </c>
      <c r="E438" s="8">
        <v>61.2</v>
      </c>
      <c r="F438" s="7" t="s">
        <v>7</v>
      </c>
    </row>
    <row r="439" s="2" customFormat="1" ht="14.1" customHeight="1" spans="1:6">
      <c r="A439" s="7" t="str">
        <f>"2101601517"</f>
        <v>2101601517</v>
      </c>
      <c r="B439" s="7" t="str">
        <f t="shared" si="24"/>
        <v>2021016</v>
      </c>
      <c r="C439" s="7" t="str">
        <f t="shared" si="25"/>
        <v>015</v>
      </c>
      <c r="D439" s="7" t="str">
        <f>"17"</f>
        <v>17</v>
      </c>
      <c r="E439" s="8">
        <v>0</v>
      </c>
      <c r="F439" s="7" t="s">
        <v>8</v>
      </c>
    </row>
    <row r="440" s="2" customFormat="1" ht="14.1" customHeight="1" spans="1:6">
      <c r="A440" s="7" t="str">
        <f>"2101601518"</f>
        <v>2101601518</v>
      </c>
      <c r="B440" s="7" t="str">
        <f t="shared" si="24"/>
        <v>2021016</v>
      </c>
      <c r="C440" s="7" t="str">
        <f t="shared" si="25"/>
        <v>015</v>
      </c>
      <c r="D440" s="7" t="str">
        <f>"18"</f>
        <v>18</v>
      </c>
      <c r="E440" s="8">
        <v>0</v>
      </c>
      <c r="F440" s="7" t="s">
        <v>8</v>
      </c>
    </row>
    <row r="441" s="2" customFormat="1" ht="14.1" customHeight="1" spans="1:6">
      <c r="A441" s="7" t="str">
        <f>"2101601519"</f>
        <v>2101601519</v>
      </c>
      <c r="B441" s="7" t="str">
        <f t="shared" si="24"/>
        <v>2021016</v>
      </c>
      <c r="C441" s="7" t="str">
        <f t="shared" si="25"/>
        <v>015</v>
      </c>
      <c r="D441" s="7" t="str">
        <f>"19"</f>
        <v>19</v>
      </c>
      <c r="E441" s="8">
        <v>0</v>
      </c>
      <c r="F441" s="7" t="s">
        <v>8</v>
      </c>
    </row>
    <row r="442" s="2" customFormat="1" ht="14.1" customHeight="1" spans="1:6">
      <c r="A442" s="7" t="str">
        <f>"2101601520"</f>
        <v>2101601520</v>
      </c>
      <c r="B442" s="7" t="str">
        <f t="shared" si="24"/>
        <v>2021016</v>
      </c>
      <c r="C442" s="7" t="str">
        <f t="shared" si="25"/>
        <v>015</v>
      </c>
      <c r="D442" s="7" t="str">
        <f>"20"</f>
        <v>20</v>
      </c>
      <c r="E442" s="8">
        <v>0</v>
      </c>
      <c r="F442" s="7" t="s">
        <v>8</v>
      </c>
    </row>
    <row r="443" s="2" customFormat="1" ht="14.1" customHeight="1" spans="1:6">
      <c r="A443" s="7" t="str">
        <f>"2101601521"</f>
        <v>2101601521</v>
      </c>
      <c r="B443" s="7" t="str">
        <f t="shared" si="24"/>
        <v>2021016</v>
      </c>
      <c r="C443" s="7" t="str">
        <f t="shared" si="25"/>
        <v>015</v>
      </c>
      <c r="D443" s="7" t="str">
        <f>"21"</f>
        <v>21</v>
      </c>
      <c r="E443" s="8">
        <v>0</v>
      </c>
      <c r="F443" s="7" t="s">
        <v>8</v>
      </c>
    </row>
    <row r="444" s="2" customFormat="1" ht="14.1" customHeight="1" spans="1:6">
      <c r="A444" s="7" t="str">
        <f>"2101601522"</f>
        <v>2101601522</v>
      </c>
      <c r="B444" s="7" t="str">
        <f t="shared" si="24"/>
        <v>2021016</v>
      </c>
      <c r="C444" s="7" t="str">
        <f t="shared" si="25"/>
        <v>015</v>
      </c>
      <c r="D444" s="7" t="str">
        <f>"22"</f>
        <v>22</v>
      </c>
      <c r="E444" s="8">
        <v>0</v>
      </c>
      <c r="F444" s="7" t="s">
        <v>8</v>
      </c>
    </row>
    <row r="445" s="2" customFormat="1" ht="14.1" customHeight="1" spans="1:6">
      <c r="A445" s="7" t="str">
        <f>"2101601523"</f>
        <v>2101601523</v>
      </c>
      <c r="B445" s="7" t="str">
        <f t="shared" si="24"/>
        <v>2021016</v>
      </c>
      <c r="C445" s="7" t="str">
        <f t="shared" si="25"/>
        <v>015</v>
      </c>
      <c r="D445" s="7" t="str">
        <f>"23"</f>
        <v>23</v>
      </c>
      <c r="E445" s="8">
        <v>0</v>
      </c>
      <c r="F445" s="7" t="s">
        <v>8</v>
      </c>
    </row>
    <row r="446" s="2" customFormat="1" ht="14.1" customHeight="1" spans="1:6">
      <c r="A446" s="7" t="str">
        <f>"2101601524"</f>
        <v>2101601524</v>
      </c>
      <c r="B446" s="7" t="str">
        <f t="shared" si="24"/>
        <v>2021016</v>
      </c>
      <c r="C446" s="7" t="str">
        <f t="shared" si="25"/>
        <v>015</v>
      </c>
      <c r="D446" s="7" t="str">
        <f>"24"</f>
        <v>24</v>
      </c>
      <c r="E446" s="8">
        <v>46.7</v>
      </c>
      <c r="F446" s="7" t="s">
        <v>7</v>
      </c>
    </row>
    <row r="447" s="2" customFormat="1" ht="14.1" customHeight="1" spans="1:6">
      <c r="A447" s="7" t="str">
        <f>"2101601525"</f>
        <v>2101601525</v>
      </c>
      <c r="B447" s="7" t="str">
        <f t="shared" si="24"/>
        <v>2021016</v>
      </c>
      <c r="C447" s="7" t="str">
        <f t="shared" si="25"/>
        <v>015</v>
      </c>
      <c r="D447" s="7" t="str">
        <f>"25"</f>
        <v>25</v>
      </c>
      <c r="E447" s="8">
        <v>0</v>
      </c>
      <c r="F447" s="7" t="s">
        <v>8</v>
      </c>
    </row>
    <row r="448" s="2" customFormat="1" ht="14.1" customHeight="1" spans="1:6">
      <c r="A448" s="7" t="str">
        <f>"2101601526"</f>
        <v>2101601526</v>
      </c>
      <c r="B448" s="7" t="str">
        <f t="shared" si="24"/>
        <v>2021016</v>
      </c>
      <c r="C448" s="7" t="str">
        <f t="shared" si="25"/>
        <v>015</v>
      </c>
      <c r="D448" s="7" t="str">
        <f>"26"</f>
        <v>26</v>
      </c>
      <c r="E448" s="8">
        <v>0</v>
      </c>
      <c r="F448" s="7" t="s">
        <v>8</v>
      </c>
    </row>
    <row r="449" s="2" customFormat="1" ht="14.1" customHeight="1" spans="1:6">
      <c r="A449" s="7" t="str">
        <f>"2101601527"</f>
        <v>2101601527</v>
      </c>
      <c r="B449" s="7" t="str">
        <f t="shared" si="24"/>
        <v>2021016</v>
      </c>
      <c r="C449" s="7" t="str">
        <f t="shared" si="25"/>
        <v>015</v>
      </c>
      <c r="D449" s="7" t="str">
        <f>"27"</f>
        <v>27</v>
      </c>
      <c r="E449" s="8">
        <v>0</v>
      </c>
      <c r="F449" s="7" t="s">
        <v>8</v>
      </c>
    </row>
    <row r="450" s="2" customFormat="1" ht="14.1" customHeight="1" spans="1:6">
      <c r="A450" s="7" t="str">
        <f>"2101601528"</f>
        <v>2101601528</v>
      </c>
      <c r="B450" s="7" t="str">
        <f t="shared" si="24"/>
        <v>2021016</v>
      </c>
      <c r="C450" s="7" t="str">
        <f t="shared" si="25"/>
        <v>015</v>
      </c>
      <c r="D450" s="7" t="str">
        <f>"28"</f>
        <v>28</v>
      </c>
      <c r="E450" s="8">
        <v>70.1</v>
      </c>
      <c r="F450" s="7" t="s">
        <v>7</v>
      </c>
    </row>
    <row r="451" s="2" customFormat="1" ht="14.1" customHeight="1" spans="1:6">
      <c r="A451" s="7" t="str">
        <f>"2101601529"</f>
        <v>2101601529</v>
      </c>
      <c r="B451" s="7" t="str">
        <f t="shared" si="24"/>
        <v>2021016</v>
      </c>
      <c r="C451" s="7" t="str">
        <f t="shared" si="25"/>
        <v>015</v>
      </c>
      <c r="D451" s="7" t="str">
        <f>"29"</f>
        <v>29</v>
      </c>
      <c r="E451" s="8">
        <v>31.8</v>
      </c>
      <c r="F451" s="7" t="s">
        <v>7</v>
      </c>
    </row>
    <row r="452" s="2" customFormat="1" ht="14.1" customHeight="1" spans="1:6">
      <c r="A452" s="7" t="str">
        <f>"2101601530"</f>
        <v>2101601530</v>
      </c>
      <c r="B452" s="7" t="str">
        <f t="shared" si="24"/>
        <v>2021016</v>
      </c>
      <c r="C452" s="7" t="str">
        <f t="shared" si="25"/>
        <v>015</v>
      </c>
      <c r="D452" s="7" t="str">
        <f>"30"</f>
        <v>30</v>
      </c>
      <c r="E452" s="8">
        <v>0</v>
      </c>
      <c r="F452" s="7" t="s">
        <v>8</v>
      </c>
    </row>
    <row r="453" s="2" customFormat="1" ht="14.1" customHeight="1" spans="1:6">
      <c r="A453" s="7" t="str">
        <f>"2101601601"</f>
        <v>2101601601</v>
      </c>
      <c r="B453" s="7" t="str">
        <f t="shared" si="24"/>
        <v>2021016</v>
      </c>
      <c r="C453" s="7" t="str">
        <f t="shared" ref="C453:C482" si="26">"016"</f>
        <v>016</v>
      </c>
      <c r="D453" s="7" t="str">
        <f>"01"</f>
        <v>01</v>
      </c>
      <c r="E453" s="8">
        <v>49.6</v>
      </c>
      <c r="F453" s="7" t="s">
        <v>7</v>
      </c>
    </row>
    <row r="454" s="2" customFormat="1" ht="14.1" customHeight="1" spans="1:6">
      <c r="A454" s="7" t="str">
        <f>"2101601602"</f>
        <v>2101601602</v>
      </c>
      <c r="B454" s="7" t="str">
        <f t="shared" si="24"/>
        <v>2021016</v>
      </c>
      <c r="C454" s="7" t="str">
        <f t="shared" si="26"/>
        <v>016</v>
      </c>
      <c r="D454" s="7" t="str">
        <f>"02"</f>
        <v>02</v>
      </c>
      <c r="E454" s="8">
        <v>52.8</v>
      </c>
      <c r="F454" s="7" t="s">
        <v>7</v>
      </c>
    </row>
    <row r="455" s="2" customFormat="1" ht="14.1" customHeight="1" spans="1:6">
      <c r="A455" s="7" t="str">
        <f>"2101601603"</f>
        <v>2101601603</v>
      </c>
      <c r="B455" s="7" t="str">
        <f t="shared" si="24"/>
        <v>2021016</v>
      </c>
      <c r="C455" s="7" t="str">
        <f t="shared" si="26"/>
        <v>016</v>
      </c>
      <c r="D455" s="7" t="str">
        <f>"03"</f>
        <v>03</v>
      </c>
      <c r="E455" s="8">
        <v>66.4</v>
      </c>
      <c r="F455" s="7" t="s">
        <v>7</v>
      </c>
    </row>
    <row r="456" s="2" customFormat="1" ht="14.1" customHeight="1" spans="1:6">
      <c r="A456" s="7" t="str">
        <f>"2101601604"</f>
        <v>2101601604</v>
      </c>
      <c r="B456" s="7" t="str">
        <f t="shared" si="24"/>
        <v>2021016</v>
      </c>
      <c r="C456" s="7" t="str">
        <f t="shared" si="26"/>
        <v>016</v>
      </c>
      <c r="D456" s="7" t="str">
        <f>"04"</f>
        <v>04</v>
      </c>
      <c r="E456" s="8">
        <v>67</v>
      </c>
      <c r="F456" s="7" t="s">
        <v>7</v>
      </c>
    </row>
    <row r="457" s="2" customFormat="1" ht="14.1" customHeight="1" spans="1:6">
      <c r="A457" s="7" t="str">
        <f>"2101601605"</f>
        <v>2101601605</v>
      </c>
      <c r="B457" s="7" t="str">
        <f t="shared" si="24"/>
        <v>2021016</v>
      </c>
      <c r="C457" s="7" t="str">
        <f t="shared" si="26"/>
        <v>016</v>
      </c>
      <c r="D457" s="7" t="str">
        <f>"05"</f>
        <v>05</v>
      </c>
      <c r="E457" s="8">
        <v>64.6</v>
      </c>
      <c r="F457" s="7" t="s">
        <v>7</v>
      </c>
    </row>
    <row r="458" s="2" customFormat="1" ht="14.1" customHeight="1" spans="1:6">
      <c r="A458" s="7" t="str">
        <f>"2101601606"</f>
        <v>2101601606</v>
      </c>
      <c r="B458" s="7" t="str">
        <f t="shared" si="24"/>
        <v>2021016</v>
      </c>
      <c r="C458" s="7" t="str">
        <f t="shared" si="26"/>
        <v>016</v>
      </c>
      <c r="D458" s="7" t="str">
        <f>"06"</f>
        <v>06</v>
      </c>
      <c r="E458" s="8">
        <v>58.3</v>
      </c>
      <c r="F458" s="7" t="s">
        <v>7</v>
      </c>
    </row>
    <row r="459" s="2" customFormat="1" ht="14.1" customHeight="1" spans="1:6">
      <c r="A459" s="7" t="str">
        <f>"2101601607"</f>
        <v>2101601607</v>
      </c>
      <c r="B459" s="7" t="str">
        <f t="shared" si="24"/>
        <v>2021016</v>
      </c>
      <c r="C459" s="7" t="str">
        <f t="shared" si="26"/>
        <v>016</v>
      </c>
      <c r="D459" s="7" t="str">
        <f>"07"</f>
        <v>07</v>
      </c>
      <c r="E459" s="8">
        <v>0</v>
      </c>
      <c r="F459" s="7" t="s">
        <v>8</v>
      </c>
    </row>
    <row r="460" s="2" customFormat="1" ht="14.1" customHeight="1" spans="1:6">
      <c r="A460" s="7" t="str">
        <f>"2101601608"</f>
        <v>2101601608</v>
      </c>
      <c r="B460" s="7" t="str">
        <f t="shared" si="24"/>
        <v>2021016</v>
      </c>
      <c r="C460" s="7" t="str">
        <f t="shared" si="26"/>
        <v>016</v>
      </c>
      <c r="D460" s="7" t="str">
        <f>"08"</f>
        <v>08</v>
      </c>
      <c r="E460" s="8">
        <v>0</v>
      </c>
      <c r="F460" s="7" t="s">
        <v>8</v>
      </c>
    </row>
    <row r="461" s="2" customFormat="1" ht="14.1" customHeight="1" spans="1:6">
      <c r="A461" s="7" t="str">
        <f>"2101601609"</f>
        <v>2101601609</v>
      </c>
      <c r="B461" s="7" t="str">
        <f t="shared" si="24"/>
        <v>2021016</v>
      </c>
      <c r="C461" s="7" t="str">
        <f t="shared" si="26"/>
        <v>016</v>
      </c>
      <c r="D461" s="7" t="str">
        <f>"09"</f>
        <v>09</v>
      </c>
      <c r="E461" s="8">
        <v>60.1</v>
      </c>
      <c r="F461" s="7" t="s">
        <v>7</v>
      </c>
    </row>
    <row r="462" s="2" customFormat="1" ht="14.1" customHeight="1" spans="1:6">
      <c r="A462" s="7" t="str">
        <f>"2101601610"</f>
        <v>2101601610</v>
      </c>
      <c r="B462" s="7" t="str">
        <f t="shared" si="24"/>
        <v>2021016</v>
      </c>
      <c r="C462" s="7" t="str">
        <f t="shared" si="26"/>
        <v>016</v>
      </c>
      <c r="D462" s="7" t="str">
        <f>"10"</f>
        <v>10</v>
      </c>
      <c r="E462" s="8">
        <v>44.8</v>
      </c>
      <c r="F462" s="7" t="s">
        <v>7</v>
      </c>
    </row>
    <row r="463" s="2" customFormat="1" ht="14.1" customHeight="1" spans="1:6">
      <c r="A463" s="7" t="str">
        <f>"2101601611"</f>
        <v>2101601611</v>
      </c>
      <c r="B463" s="7" t="str">
        <f t="shared" si="24"/>
        <v>2021016</v>
      </c>
      <c r="C463" s="7" t="str">
        <f t="shared" si="26"/>
        <v>016</v>
      </c>
      <c r="D463" s="7" t="str">
        <f>"11"</f>
        <v>11</v>
      </c>
      <c r="E463" s="8">
        <v>0</v>
      </c>
      <c r="F463" s="7" t="s">
        <v>8</v>
      </c>
    </row>
    <row r="464" s="2" customFormat="1" ht="14.1" customHeight="1" spans="1:6">
      <c r="A464" s="7" t="str">
        <f>"2101601612"</f>
        <v>2101601612</v>
      </c>
      <c r="B464" s="7" t="str">
        <f t="shared" si="24"/>
        <v>2021016</v>
      </c>
      <c r="C464" s="7" t="str">
        <f t="shared" si="26"/>
        <v>016</v>
      </c>
      <c r="D464" s="7" t="str">
        <f>"12"</f>
        <v>12</v>
      </c>
      <c r="E464" s="8">
        <v>0</v>
      </c>
      <c r="F464" s="7" t="s">
        <v>8</v>
      </c>
    </row>
    <row r="465" s="2" customFormat="1" ht="14.1" customHeight="1" spans="1:6">
      <c r="A465" s="7" t="str">
        <f>"2101601613"</f>
        <v>2101601613</v>
      </c>
      <c r="B465" s="7" t="str">
        <f t="shared" si="24"/>
        <v>2021016</v>
      </c>
      <c r="C465" s="7" t="str">
        <f t="shared" si="26"/>
        <v>016</v>
      </c>
      <c r="D465" s="7" t="str">
        <f>"13"</f>
        <v>13</v>
      </c>
      <c r="E465" s="8">
        <v>0</v>
      </c>
      <c r="F465" s="7" t="s">
        <v>8</v>
      </c>
    </row>
    <row r="466" s="2" customFormat="1" ht="14.1" customHeight="1" spans="1:6">
      <c r="A466" s="7" t="str">
        <f>"2101601614"</f>
        <v>2101601614</v>
      </c>
      <c r="B466" s="7" t="str">
        <f t="shared" si="24"/>
        <v>2021016</v>
      </c>
      <c r="C466" s="7" t="str">
        <f t="shared" si="26"/>
        <v>016</v>
      </c>
      <c r="D466" s="7" t="str">
        <f>"14"</f>
        <v>14</v>
      </c>
      <c r="E466" s="8">
        <v>0</v>
      </c>
      <c r="F466" s="7" t="s">
        <v>8</v>
      </c>
    </row>
    <row r="467" s="2" customFormat="1" ht="14.1" customHeight="1" spans="1:6">
      <c r="A467" s="7" t="str">
        <f>"2101601615"</f>
        <v>2101601615</v>
      </c>
      <c r="B467" s="7" t="str">
        <f t="shared" si="24"/>
        <v>2021016</v>
      </c>
      <c r="C467" s="7" t="str">
        <f t="shared" si="26"/>
        <v>016</v>
      </c>
      <c r="D467" s="7" t="str">
        <f>"15"</f>
        <v>15</v>
      </c>
      <c r="E467" s="8">
        <v>0</v>
      </c>
      <c r="F467" s="7" t="s">
        <v>8</v>
      </c>
    </row>
    <row r="468" s="2" customFormat="1" ht="14.1" customHeight="1" spans="1:6">
      <c r="A468" s="7" t="str">
        <f>"2101601616"</f>
        <v>2101601616</v>
      </c>
      <c r="B468" s="7" t="str">
        <f t="shared" si="24"/>
        <v>2021016</v>
      </c>
      <c r="C468" s="7" t="str">
        <f t="shared" si="26"/>
        <v>016</v>
      </c>
      <c r="D468" s="7" t="str">
        <f>"16"</f>
        <v>16</v>
      </c>
      <c r="E468" s="8">
        <v>55.4</v>
      </c>
      <c r="F468" s="7" t="s">
        <v>7</v>
      </c>
    </row>
    <row r="469" s="2" customFormat="1" ht="14.1" customHeight="1" spans="1:6">
      <c r="A469" s="7" t="str">
        <f>"2101601617"</f>
        <v>2101601617</v>
      </c>
      <c r="B469" s="7" t="str">
        <f t="shared" si="24"/>
        <v>2021016</v>
      </c>
      <c r="C469" s="7" t="str">
        <f t="shared" si="26"/>
        <v>016</v>
      </c>
      <c r="D469" s="7" t="str">
        <f>"17"</f>
        <v>17</v>
      </c>
      <c r="E469" s="8">
        <v>55.7</v>
      </c>
      <c r="F469" s="7" t="s">
        <v>7</v>
      </c>
    </row>
    <row r="470" s="2" customFormat="1" ht="14.1" customHeight="1" spans="1:6">
      <c r="A470" s="7" t="str">
        <f>"2101601618"</f>
        <v>2101601618</v>
      </c>
      <c r="B470" s="7" t="str">
        <f t="shared" si="24"/>
        <v>2021016</v>
      </c>
      <c r="C470" s="7" t="str">
        <f t="shared" si="26"/>
        <v>016</v>
      </c>
      <c r="D470" s="7" t="str">
        <f>"18"</f>
        <v>18</v>
      </c>
      <c r="E470" s="8">
        <v>0</v>
      </c>
      <c r="F470" s="7" t="s">
        <v>8</v>
      </c>
    </row>
    <row r="471" s="2" customFormat="1" ht="14.1" customHeight="1" spans="1:6">
      <c r="A471" s="7" t="str">
        <f>"2101601619"</f>
        <v>2101601619</v>
      </c>
      <c r="B471" s="7" t="str">
        <f t="shared" si="24"/>
        <v>2021016</v>
      </c>
      <c r="C471" s="7" t="str">
        <f t="shared" si="26"/>
        <v>016</v>
      </c>
      <c r="D471" s="7" t="str">
        <f>"19"</f>
        <v>19</v>
      </c>
      <c r="E471" s="8">
        <v>64.7</v>
      </c>
      <c r="F471" s="7" t="s">
        <v>7</v>
      </c>
    </row>
    <row r="472" s="2" customFormat="1" ht="14.1" customHeight="1" spans="1:6">
      <c r="A472" s="7" t="str">
        <f>"2101601620"</f>
        <v>2101601620</v>
      </c>
      <c r="B472" s="7" t="str">
        <f t="shared" ref="B472:B535" si="27">"2021016"</f>
        <v>2021016</v>
      </c>
      <c r="C472" s="7" t="str">
        <f t="shared" si="26"/>
        <v>016</v>
      </c>
      <c r="D472" s="7" t="str">
        <f>"20"</f>
        <v>20</v>
      </c>
      <c r="E472" s="8">
        <v>0</v>
      </c>
      <c r="F472" s="7" t="s">
        <v>8</v>
      </c>
    </row>
    <row r="473" s="2" customFormat="1" ht="14.1" customHeight="1" spans="1:6">
      <c r="A473" s="7" t="str">
        <f>"2101601621"</f>
        <v>2101601621</v>
      </c>
      <c r="B473" s="7" t="str">
        <f t="shared" si="27"/>
        <v>2021016</v>
      </c>
      <c r="C473" s="7" t="str">
        <f t="shared" si="26"/>
        <v>016</v>
      </c>
      <c r="D473" s="7" t="str">
        <f>"21"</f>
        <v>21</v>
      </c>
      <c r="E473" s="8">
        <v>58</v>
      </c>
      <c r="F473" s="7" t="s">
        <v>7</v>
      </c>
    </row>
    <row r="474" s="2" customFormat="1" ht="14.1" customHeight="1" spans="1:6">
      <c r="A474" s="7" t="str">
        <f>"2101601622"</f>
        <v>2101601622</v>
      </c>
      <c r="B474" s="7" t="str">
        <f t="shared" si="27"/>
        <v>2021016</v>
      </c>
      <c r="C474" s="7" t="str">
        <f t="shared" si="26"/>
        <v>016</v>
      </c>
      <c r="D474" s="7" t="str">
        <f>"22"</f>
        <v>22</v>
      </c>
      <c r="E474" s="8">
        <v>63.7</v>
      </c>
      <c r="F474" s="7" t="s">
        <v>7</v>
      </c>
    </row>
    <row r="475" s="2" customFormat="1" ht="14.1" customHeight="1" spans="1:6">
      <c r="A475" s="7" t="str">
        <f>"2101601623"</f>
        <v>2101601623</v>
      </c>
      <c r="B475" s="7" t="str">
        <f t="shared" si="27"/>
        <v>2021016</v>
      </c>
      <c r="C475" s="7" t="str">
        <f t="shared" si="26"/>
        <v>016</v>
      </c>
      <c r="D475" s="7" t="str">
        <f>"23"</f>
        <v>23</v>
      </c>
      <c r="E475" s="8">
        <v>0</v>
      </c>
      <c r="F475" s="7" t="s">
        <v>8</v>
      </c>
    </row>
    <row r="476" s="2" customFormat="1" ht="14.1" customHeight="1" spans="1:6">
      <c r="A476" s="7" t="str">
        <f>"2101601624"</f>
        <v>2101601624</v>
      </c>
      <c r="B476" s="7" t="str">
        <f t="shared" si="27"/>
        <v>2021016</v>
      </c>
      <c r="C476" s="7" t="str">
        <f t="shared" si="26"/>
        <v>016</v>
      </c>
      <c r="D476" s="7" t="str">
        <f>"24"</f>
        <v>24</v>
      </c>
      <c r="E476" s="8">
        <v>0</v>
      </c>
      <c r="F476" s="7" t="s">
        <v>8</v>
      </c>
    </row>
    <row r="477" s="2" customFormat="1" ht="14.1" customHeight="1" spans="1:6">
      <c r="A477" s="7" t="str">
        <f>"2101601625"</f>
        <v>2101601625</v>
      </c>
      <c r="B477" s="7" t="str">
        <f t="shared" si="27"/>
        <v>2021016</v>
      </c>
      <c r="C477" s="7" t="str">
        <f t="shared" si="26"/>
        <v>016</v>
      </c>
      <c r="D477" s="7" t="str">
        <f>"25"</f>
        <v>25</v>
      </c>
      <c r="E477" s="8">
        <v>61.3</v>
      </c>
      <c r="F477" s="7" t="s">
        <v>7</v>
      </c>
    </row>
    <row r="478" s="2" customFormat="1" ht="14.1" customHeight="1" spans="1:6">
      <c r="A478" s="7" t="str">
        <f>"2101601626"</f>
        <v>2101601626</v>
      </c>
      <c r="B478" s="7" t="str">
        <f t="shared" si="27"/>
        <v>2021016</v>
      </c>
      <c r="C478" s="7" t="str">
        <f t="shared" si="26"/>
        <v>016</v>
      </c>
      <c r="D478" s="7" t="str">
        <f>"26"</f>
        <v>26</v>
      </c>
      <c r="E478" s="8">
        <v>51.9</v>
      </c>
      <c r="F478" s="7" t="s">
        <v>7</v>
      </c>
    </row>
    <row r="479" s="2" customFormat="1" ht="14.1" customHeight="1" spans="1:6">
      <c r="A479" s="7" t="str">
        <f>"2101601627"</f>
        <v>2101601627</v>
      </c>
      <c r="B479" s="7" t="str">
        <f t="shared" si="27"/>
        <v>2021016</v>
      </c>
      <c r="C479" s="7" t="str">
        <f t="shared" si="26"/>
        <v>016</v>
      </c>
      <c r="D479" s="7" t="str">
        <f>"27"</f>
        <v>27</v>
      </c>
      <c r="E479" s="8">
        <v>0</v>
      </c>
      <c r="F479" s="7" t="s">
        <v>8</v>
      </c>
    </row>
    <row r="480" s="2" customFormat="1" ht="14.1" customHeight="1" spans="1:6">
      <c r="A480" s="7" t="str">
        <f>"2101601628"</f>
        <v>2101601628</v>
      </c>
      <c r="B480" s="7" t="str">
        <f t="shared" si="27"/>
        <v>2021016</v>
      </c>
      <c r="C480" s="7" t="str">
        <f t="shared" si="26"/>
        <v>016</v>
      </c>
      <c r="D480" s="7" t="str">
        <f>"28"</f>
        <v>28</v>
      </c>
      <c r="E480" s="8">
        <v>57.7</v>
      </c>
      <c r="F480" s="7" t="s">
        <v>7</v>
      </c>
    </row>
    <row r="481" s="2" customFormat="1" ht="14.1" customHeight="1" spans="1:6">
      <c r="A481" s="7" t="str">
        <f>"2101601629"</f>
        <v>2101601629</v>
      </c>
      <c r="B481" s="7" t="str">
        <f t="shared" si="27"/>
        <v>2021016</v>
      </c>
      <c r="C481" s="7" t="str">
        <f t="shared" si="26"/>
        <v>016</v>
      </c>
      <c r="D481" s="7" t="str">
        <f>"29"</f>
        <v>29</v>
      </c>
      <c r="E481" s="8">
        <v>53.6</v>
      </c>
      <c r="F481" s="7" t="s">
        <v>7</v>
      </c>
    </row>
    <row r="482" s="2" customFormat="1" ht="14.1" customHeight="1" spans="1:6">
      <c r="A482" s="7" t="str">
        <f>"2101601630"</f>
        <v>2101601630</v>
      </c>
      <c r="B482" s="7" t="str">
        <f t="shared" si="27"/>
        <v>2021016</v>
      </c>
      <c r="C482" s="7" t="str">
        <f t="shared" si="26"/>
        <v>016</v>
      </c>
      <c r="D482" s="7" t="str">
        <f>"30"</f>
        <v>30</v>
      </c>
      <c r="E482" s="8">
        <v>47.7</v>
      </c>
      <c r="F482" s="7" t="s">
        <v>7</v>
      </c>
    </row>
    <row r="483" s="2" customFormat="1" ht="14.1" customHeight="1" spans="1:6">
      <c r="A483" s="7" t="str">
        <f>"2101601701"</f>
        <v>2101601701</v>
      </c>
      <c r="B483" s="7" t="str">
        <f t="shared" si="27"/>
        <v>2021016</v>
      </c>
      <c r="C483" s="7" t="str">
        <f t="shared" ref="C483:C512" si="28">"017"</f>
        <v>017</v>
      </c>
      <c r="D483" s="7" t="str">
        <f>"01"</f>
        <v>01</v>
      </c>
      <c r="E483" s="8">
        <v>59.6</v>
      </c>
      <c r="F483" s="7" t="s">
        <v>7</v>
      </c>
    </row>
    <row r="484" s="2" customFormat="1" ht="14.1" customHeight="1" spans="1:6">
      <c r="A484" s="7" t="str">
        <f>"2101601702"</f>
        <v>2101601702</v>
      </c>
      <c r="B484" s="7" t="str">
        <f t="shared" si="27"/>
        <v>2021016</v>
      </c>
      <c r="C484" s="7" t="str">
        <f t="shared" si="28"/>
        <v>017</v>
      </c>
      <c r="D484" s="7" t="str">
        <f>"02"</f>
        <v>02</v>
      </c>
      <c r="E484" s="8">
        <v>63.5</v>
      </c>
      <c r="F484" s="7" t="s">
        <v>7</v>
      </c>
    </row>
    <row r="485" s="2" customFormat="1" ht="14.1" customHeight="1" spans="1:6">
      <c r="A485" s="7" t="str">
        <f>"2101601703"</f>
        <v>2101601703</v>
      </c>
      <c r="B485" s="7" t="str">
        <f t="shared" si="27"/>
        <v>2021016</v>
      </c>
      <c r="C485" s="7" t="str">
        <f t="shared" si="28"/>
        <v>017</v>
      </c>
      <c r="D485" s="7" t="str">
        <f>"03"</f>
        <v>03</v>
      </c>
      <c r="E485" s="8">
        <v>64.8</v>
      </c>
      <c r="F485" s="7" t="s">
        <v>7</v>
      </c>
    </row>
    <row r="486" s="2" customFormat="1" ht="14.1" customHeight="1" spans="1:6">
      <c r="A486" s="7" t="str">
        <f>"2101601704"</f>
        <v>2101601704</v>
      </c>
      <c r="B486" s="7" t="str">
        <f t="shared" si="27"/>
        <v>2021016</v>
      </c>
      <c r="C486" s="7" t="str">
        <f t="shared" si="28"/>
        <v>017</v>
      </c>
      <c r="D486" s="7" t="str">
        <f>"04"</f>
        <v>04</v>
      </c>
      <c r="E486" s="8">
        <v>0</v>
      </c>
      <c r="F486" s="7" t="s">
        <v>8</v>
      </c>
    </row>
    <row r="487" s="2" customFormat="1" ht="14.1" customHeight="1" spans="1:6">
      <c r="A487" s="7" t="str">
        <f>"2101601705"</f>
        <v>2101601705</v>
      </c>
      <c r="B487" s="7" t="str">
        <f t="shared" si="27"/>
        <v>2021016</v>
      </c>
      <c r="C487" s="7" t="str">
        <f t="shared" si="28"/>
        <v>017</v>
      </c>
      <c r="D487" s="7" t="str">
        <f>"05"</f>
        <v>05</v>
      </c>
      <c r="E487" s="8">
        <v>67.3</v>
      </c>
      <c r="F487" s="7" t="s">
        <v>7</v>
      </c>
    </row>
    <row r="488" s="2" customFormat="1" ht="14.1" customHeight="1" spans="1:6">
      <c r="A488" s="7" t="str">
        <f>"2101601706"</f>
        <v>2101601706</v>
      </c>
      <c r="B488" s="7" t="str">
        <f t="shared" si="27"/>
        <v>2021016</v>
      </c>
      <c r="C488" s="7" t="str">
        <f t="shared" si="28"/>
        <v>017</v>
      </c>
      <c r="D488" s="7" t="str">
        <f>"06"</f>
        <v>06</v>
      </c>
      <c r="E488" s="8">
        <v>55.8</v>
      </c>
      <c r="F488" s="7" t="s">
        <v>7</v>
      </c>
    </row>
    <row r="489" s="2" customFormat="1" ht="14.1" customHeight="1" spans="1:6">
      <c r="A489" s="7" t="str">
        <f>"2101601707"</f>
        <v>2101601707</v>
      </c>
      <c r="B489" s="7" t="str">
        <f t="shared" si="27"/>
        <v>2021016</v>
      </c>
      <c r="C489" s="7" t="str">
        <f t="shared" si="28"/>
        <v>017</v>
      </c>
      <c r="D489" s="7" t="str">
        <f>"07"</f>
        <v>07</v>
      </c>
      <c r="E489" s="8">
        <v>64.1</v>
      </c>
      <c r="F489" s="7" t="s">
        <v>7</v>
      </c>
    </row>
    <row r="490" s="2" customFormat="1" ht="14.1" customHeight="1" spans="1:6">
      <c r="A490" s="7" t="str">
        <f>"2101601708"</f>
        <v>2101601708</v>
      </c>
      <c r="B490" s="7" t="str">
        <f t="shared" si="27"/>
        <v>2021016</v>
      </c>
      <c r="C490" s="7" t="str">
        <f t="shared" si="28"/>
        <v>017</v>
      </c>
      <c r="D490" s="7" t="str">
        <f>"08"</f>
        <v>08</v>
      </c>
      <c r="E490" s="8">
        <v>0</v>
      </c>
      <c r="F490" s="7" t="s">
        <v>8</v>
      </c>
    </row>
    <row r="491" s="2" customFormat="1" ht="14.1" customHeight="1" spans="1:6">
      <c r="A491" s="7" t="str">
        <f>"2101601709"</f>
        <v>2101601709</v>
      </c>
      <c r="B491" s="7" t="str">
        <f t="shared" si="27"/>
        <v>2021016</v>
      </c>
      <c r="C491" s="7" t="str">
        <f t="shared" si="28"/>
        <v>017</v>
      </c>
      <c r="D491" s="7" t="str">
        <f>"09"</f>
        <v>09</v>
      </c>
      <c r="E491" s="8">
        <v>65.6</v>
      </c>
      <c r="F491" s="7" t="s">
        <v>7</v>
      </c>
    </row>
    <row r="492" s="2" customFormat="1" ht="14.1" customHeight="1" spans="1:6">
      <c r="A492" s="7" t="str">
        <f>"2101601710"</f>
        <v>2101601710</v>
      </c>
      <c r="B492" s="7" t="str">
        <f t="shared" si="27"/>
        <v>2021016</v>
      </c>
      <c r="C492" s="7" t="str">
        <f t="shared" si="28"/>
        <v>017</v>
      </c>
      <c r="D492" s="7" t="str">
        <f>"10"</f>
        <v>10</v>
      </c>
      <c r="E492" s="8">
        <v>0</v>
      </c>
      <c r="F492" s="7" t="s">
        <v>8</v>
      </c>
    </row>
    <row r="493" s="2" customFormat="1" ht="14.1" customHeight="1" spans="1:6">
      <c r="A493" s="7" t="str">
        <f>"2101601711"</f>
        <v>2101601711</v>
      </c>
      <c r="B493" s="7" t="str">
        <f t="shared" si="27"/>
        <v>2021016</v>
      </c>
      <c r="C493" s="7" t="str">
        <f t="shared" si="28"/>
        <v>017</v>
      </c>
      <c r="D493" s="7" t="str">
        <f>"11"</f>
        <v>11</v>
      </c>
      <c r="E493" s="8">
        <v>64.6</v>
      </c>
      <c r="F493" s="7" t="s">
        <v>7</v>
      </c>
    </row>
    <row r="494" s="2" customFormat="1" ht="14.1" customHeight="1" spans="1:6">
      <c r="A494" s="7" t="str">
        <f>"2101601712"</f>
        <v>2101601712</v>
      </c>
      <c r="B494" s="7" t="str">
        <f t="shared" si="27"/>
        <v>2021016</v>
      </c>
      <c r="C494" s="7" t="str">
        <f t="shared" si="28"/>
        <v>017</v>
      </c>
      <c r="D494" s="7" t="str">
        <f>"12"</f>
        <v>12</v>
      </c>
      <c r="E494" s="8">
        <v>58.7</v>
      </c>
      <c r="F494" s="7" t="s">
        <v>7</v>
      </c>
    </row>
    <row r="495" s="2" customFormat="1" ht="14.1" customHeight="1" spans="1:6">
      <c r="A495" s="7" t="str">
        <f>"2101601713"</f>
        <v>2101601713</v>
      </c>
      <c r="B495" s="7" t="str">
        <f t="shared" si="27"/>
        <v>2021016</v>
      </c>
      <c r="C495" s="7" t="str">
        <f t="shared" si="28"/>
        <v>017</v>
      </c>
      <c r="D495" s="7" t="str">
        <f>"13"</f>
        <v>13</v>
      </c>
      <c r="E495" s="8">
        <v>61.7</v>
      </c>
      <c r="F495" s="7" t="s">
        <v>7</v>
      </c>
    </row>
    <row r="496" s="2" customFormat="1" ht="14.1" customHeight="1" spans="1:6">
      <c r="A496" s="7" t="str">
        <f>"2101601714"</f>
        <v>2101601714</v>
      </c>
      <c r="B496" s="7" t="str">
        <f t="shared" si="27"/>
        <v>2021016</v>
      </c>
      <c r="C496" s="7" t="str">
        <f t="shared" si="28"/>
        <v>017</v>
      </c>
      <c r="D496" s="7" t="str">
        <f>"14"</f>
        <v>14</v>
      </c>
      <c r="E496" s="8">
        <v>62.1</v>
      </c>
      <c r="F496" s="7" t="s">
        <v>7</v>
      </c>
    </row>
    <row r="497" s="2" customFormat="1" ht="14.1" customHeight="1" spans="1:6">
      <c r="A497" s="7" t="str">
        <f>"2101601715"</f>
        <v>2101601715</v>
      </c>
      <c r="B497" s="7" t="str">
        <f t="shared" si="27"/>
        <v>2021016</v>
      </c>
      <c r="C497" s="7" t="str">
        <f t="shared" si="28"/>
        <v>017</v>
      </c>
      <c r="D497" s="7" t="str">
        <f>"15"</f>
        <v>15</v>
      </c>
      <c r="E497" s="8">
        <v>52</v>
      </c>
      <c r="F497" s="7" t="s">
        <v>7</v>
      </c>
    </row>
    <row r="498" s="2" customFormat="1" ht="14.1" customHeight="1" spans="1:6">
      <c r="A498" s="7" t="str">
        <f>"2101601716"</f>
        <v>2101601716</v>
      </c>
      <c r="B498" s="7" t="str">
        <f t="shared" si="27"/>
        <v>2021016</v>
      </c>
      <c r="C498" s="7" t="str">
        <f t="shared" si="28"/>
        <v>017</v>
      </c>
      <c r="D498" s="7" t="str">
        <f>"16"</f>
        <v>16</v>
      </c>
      <c r="E498" s="8">
        <v>58.2</v>
      </c>
      <c r="F498" s="7" t="s">
        <v>7</v>
      </c>
    </row>
    <row r="499" s="2" customFormat="1" ht="14.1" customHeight="1" spans="1:6">
      <c r="A499" s="7" t="str">
        <f>"2101601717"</f>
        <v>2101601717</v>
      </c>
      <c r="B499" s="7" t="str">
        <f t="shared" si="27"/>
        <v>2021016</v>
      </c>
      <c r="C499" s="7" t="str">
        <f t="shared" si="28"/>
        <v>017</v>
      </c>
      <c r="D499" s="7" t="str">
        <f>"17"</f>
        <v>17</v>
      </c>
      <c r="E499" s="8">
        <v>63.4</v>
      </c>
      <c r="F499" s="7" t="s">
        <v>7</v>
      </c>
    </row>
    <row r="500" s="2" customFormat="1" ht="14.1" customHeight="1" spans="1:6">
      <c r="A500" s="7" t="str">
        <f>"2101601718"</f>
        <v>2101601718</v>
      </c>
      <c r="B500" s="7" t="str">
        <f t="shared" si="27"/>
        <v>2021016</v>
      </c>
      <c r="C500" s="7" t="str">
        <f t="shared" si="28"/>
        <v>017</v>
      </c>
      <c r="D500" s="7" t="str">
        <f>"18"</f>
        <v>18</v>
      </c>
      <c r="E500" s="8">
        <v>0</v>
      </c>
      <c r="F500" s="7" t="s">
        <v>8</v>
      </c>
    </row>
    <row r="501" s="2" customFormat="1" ht="14.1" customHeight="1" spans="1:6">
      <c r="A501" s="7" t="str">
        <f>"2101601719"</f>
        <v>2101601719</v>
      </c>
      <c r="B501" s="7" t="str">
        <f t="shared" si="27"/>
        <v>2021016</v>
      </c>
      <c r="C501" s="7" t="str">
        <f t="shared" si="28"/>
        <v>017</v>
      </c>
      <c r="D501" s="7" t="str">
        <f>"19"</f>
        <v>19</v>
      </c>
      <c r="E501" s="8">
        <v>63.8</v>
      </c>
      <c r="F501" s="7" t="s">
        <v>7</v>
      </c>
    </row>
    <row r="502" s="2" customFormat="1" ht="14.1" customHeight="1" spans="1:6">
      <c r="A502" s="7" t="str">
        <f>"2101601720"</f>
        <v>2101601720</v>
      </c>
      <c r="B502" s="7" t="str">
        <f t="shared" si="27"/>
        <v>2021016</v>
      </c>
      <c r="C502" s="7" t="str">
        <f t="shared" si="28"/>
        <v>017</v>
      </c>
      <c r="D502" s="7" t="str">
        <f>"20"</f>
        <v>20</v>
      </c>
      <c r="E502" s="8">
        <v>54.7</v>
      </c>
      <c r="F502" s="7" t="s">
        <v>7</v>
      </c>
    </row>
    <row r="503" s="2" customFormat="1" ht="14.1" customHeight="1" spans="1:6">
      <c r="A503" s="7" t="str">
        <f>"2101601721"</f>
        <v>2101601721</v>
      </c>
      <c r="B503" s="7" t="str">
        <f t="shared" si="27"/>
        <v>2021016</v>
      </c>
      <c r="C503" s="7" t="str">
        <f t="shared" si="28"/>
        <v>017</v>
      </c>
      <c r="D503" s="7" t="str">
        <f>"21"</f>
        <v>21</v>
      </c>
      <c r="E503" s="8">
        <v>63</v>
      </c>
      <c r="F503" s="7" t="s">
        <v>7</v>
      </c>
    </row>
    <row r="504" s="2" customFormat="1" ht="14.1" customHeight="1" spans="1:6">
      <c r="A504" s="7" t="str">
        <f>"2101601722"</f>
        <v>2101601722</v>
      </c>
      <c r="B504" s="7" t="str">
        <f t="shared" si="27"/>
        <v>2021016</v>
      </c>
      <c r="C504" s="7" t="str">
        <f t="shared" si="28"/>
        <v>017</v>
      </c>
      <c r="D504" s="7" t="str">
        <f>"22"</f>
        <v>22</v>
      </c>
      <c r="E504" s="8">
        <v>0</v>
      </c>
      <c r="F504" s="7" t="s">
        <v>8</v>
      </c>
    </row>
    <row r="505" s="2" customFormat="1" ht="14.1" customHeight="1" spans="1:6">
      <c r="A505" s="7" t="str">
        <f>"2101601723"</f>
        <v>2101601723</v>
      </c>
      <c r="B505" s="7" t="str">
        <f t="shared" si="27"/>
        <v>2021016</v>
      </c>
      <c r="C505" s="7" t="str">
        <f t="shared" si="28"/>
        <v>017</v>
      </c>
      <c r="D505" s="7" t="str">
        <f>"23"</f>
        <v>23</v>
      </c>
      <c r="E505" s="8">
        <v>0</v>
      </c>
      <c r="F505" s="7" t="s">
        <v>8</v>
      </c>
    </row>
    <row r="506" s="2" customFormat="1" ht="14.1" customHeight="1" spans="1:6">
      <c r="A506" s="7" t="str">
        <f>"2101601724"</f>
        <v>2101601724</v>
      </c>
      <c r="B506" s="7" t="str">
        <f t="shared" si="27"/>
        <v>2021016</v>
      </c>
      <c r="C506" s="7" t="str">
        <f t="shared" si="28"/>
        <v>017</v>
      </c>
      <c r="D506" s="7" t="str">
        <f>"24"</f>
        <v>24</v>
      </c>
      <c r="E506" s="8">
        <v>52</v>
      </c>
      <c r="F506" s="7" t="s">
        <v>7</v>
      </c>
    </row>
    <row r="507" s="2" customFormat="1" ht="14.1" customHeight="1" spans="1:6">
      <c r="A507" s="7" t="str">
        <f>"2101601725"</f>
        <v>2101601725</v>
      </c>
      <c r="B507" s="7" t="str">
        <f t="shared" si="27"/>
        <v>2021016</v>
      </c>
      <c r="C507" s="7" t="str">
        <f t="shared" si="28"/>
        <v>017</v>
      </c>
      <c r="D507" s="7" t="str">
        <f>"25"</f>
        <v>25</v>
      </c>
      <c r="E507" s="8">
        <v>44.5</v>
      </c>
      <c r="F507" s="7" t="s">
        <v>7</v>
      </c>
    </row>
    <row r="508" s="2" customFormat="1" ht="14.1" customHeight="1" spans="1:6">
      <c r="A508" s="7" t="str">
        <f>"2101601726"</f>
        <v>2101601726</v>
      </c>
      <c r="B508" s="7" t="str">
        <f t="shared" si="27"/>
        <v>2021016</v>
      </c>
      <c r="C508" s="7" t="str">
        <f t="shared" si="28"/>
        <v>017</v>
      </c>
      <c r="D508" s="7" t="str">
        <f>"26"</f>
        <v>26</v>
      </c>
      <c r="E508" s="8">
        <v>64.9</v>
      </c>
      <c r="F508" s="7" t="s">
        <v>7</v>
      </c>
    </row>
    <row r="509" s="2" customFormat="1" ht="14.1" customHeight="1" spans="1:6">
      <c r="A509" s="7" t="str">
        <f>"2101601727"</f>
        <v>2101601727</v>
      </c>
      <c r="B509" s="7" t="str">
        <f t="shared" si="27"/>
        <v>2021016</v>
      </c>
      <c r="C509" s="7" t="str">
        <f t="shared" si="28"/>
        <v>017</v>
      </c>
      <c r="D509" s="7" t="str">
        <f>"27"</f>
        <v>27</v>
      </c>
      <c r="E509" s="8">
        <v>67.6</v>
      </c>
      <c r="F509" s="7" t="s">
        <v>7</v>
      </c>
    </row>
    <row r="510" s="2" customFormat="1" ht="14.1" customHeight="1" spans="1:6">
      <c r="A510" s="7" t="str">
        <f>"2101601728"</f>
        <v>2101601728</v>
      </c>
      <c r="B510" s="7" t="str">
        <f t="shared" si="27"/>
        <v>2021016</v>
      </c>
      <c r="C510" s="7" t="str">
        <f t="shared" si="28"/>
        <v>017</v>
      </c>
      <c r="D510" s="7" t="str">
        <f>"28"</f>
        <v>28</v>
      </c>
      <c r="E510" s="8">
        <v>0</v>
      </c>
      <c r="F510" s="7" t="s">
        <v>8</v>
      </c>
    </row>
    <row r="511" s="2" customFormat="1" ht="14.1" customHeight="1" spans="1:6">
      <c r="A511" s="7" t="str">
        <f>"2101601729"</f>
        <v>2101601729</v>
      </c>
      <c r="B511" s="7" t="str">
        <f t="shared" si="27"/>
        <v>2021016</v>
      </c>
      <c r="C511" s="7" t="str">
        <f t="shared" si="28"/>
        <v>017</v>
      </c>
      <c r="D511" s="7" t="str">
        <f>"29"</f>
        <v>29</v>
      </c>
      <c r="E511" s="8">
        <v>0</v>
      </c>
      <c r="F511" s="7" t="s">
        <v>8</v>
      </c>
    </row>
    <row r="512" s="2" customFormat="1" ht="14.1" customHeight="1" spans="1:6">
      <c r="A512" s="7" t="str">
        <f>"2101601730"</f>
        <v>2101601730</v>
      </c>
      <c r="B512" s="7" t="str">
        <f t="shared" si="27"/>
        <v>2021016</v>
      </c>
      <c r="C512" s="7" t="str">
        <f t="shared" si="28"/>
        <v>017</v>
      </c>
      <c r="D512" s="7" t="str">
        <f>"30"</f>
        <v>30</v>
      </c>
      <c r="E512" s="8">
        <v>69.7</v>
      </c>
      <c r="F512" s="7" t="s">
        <v>7</v>
      </c>
    </row>
    <row r="513" s="2" customFormat="1" ht="14.1" customHeight="1" spans="1:6">
      <c r="A513" s="7" t="str">
        <f>"2101601801"</f>
        <v>2101601801</v>
      </c>
      <c r="B513" s="7" t="str">
        <f t="shared" si="27"/>
        <v>2021016</v>
      </c>
      <c r="C513" s="7" t="str">
        <f t="shared" ref="C513:C542" si="29">"018"</f>
        <v>018</v>
      </c>
      <c r="D513" s="7" t="str">
        <f>"01"</f>
        <v>01</v>
      </c>
      <c r="E513" s="8">
        <v>56.2</v>
      </c>
      <c r="F513" s="7" t="s">
        <v>7</v>
      </c>
    </row>
    <row r="514" s="2" customFormat="1" ht="14.1" customHeight="1" spans="1:6">
      <c r="A514" s="7" t="str">
        <f>"2101601802"</f>
        <v>2101601802</v>
      </c>
      <c r="B514" s="7" t="str">
        <f t="shared" si="27"/>
        <v>2021016</v>
      </c>
      <c r="C514" s="7" t="str">
        <f t="shared" si="29"/>
        <v>018</v>
      </c>
      <c r="D514" s="7" t="str">
        <f>"02"</f>
        <v>02</v>
      </c>
      <c r="E514" s="8">
        <v>0</v>
      </c>
      <c r="F514" s="7" t="s">
        <v>8</v>
      </c>
    </row>
    <row r="515" s="2" customFormat="1" ht="14.1" customHeight="1" spans="1:6">
      <c r="A515" s="7" t="str">
        <f>"2101601803"</f>
        <v>2101601803</v>
      </c>
      <c r="B515" s="7" t="str">
        <f t="shared" si="27"/>
        <v>2021016</v>
      </c>
      <c r="C515" s="7" t="str">
        <f t="shared" si="29"/>
        <v>018</v>
      </c>
      <c r="D515" s="7" t="str">
        <f>"03"</f>
        <v>03</v>
      </c>
      <c r="E515" s="8">
        <v>0</v>
      </c>
      <c r="F515" s="7" t="s">
        <v>8</v>
      </c>
    </row>
    <row r="516" s="2" customFormat="1" ht="14.1" customHeight="1" spans="1:6">
      <c r="A516" s="7" t="str">
        <f>"2101601804"</f>
        <v>2101601804</v>
      </c>
      <c r="B516" s="7" t="str">
        <f t="shared" si="27"/>
        <v>2021016</v>
      </c>
      <c r="C516" s="7" t="str">
        <f t="shared" si="29"/>
        <v>018</v>
      </c>
      <c r="D516" s="7" t="str">
        <f>"04"</f>
        <v>04</v>
      </c>
      <c r="E516" s="8">
        <v>0</v>
      </c>
      <c r="F516" s="7" t="s">
        <v>8</v>
      </c>
    </row>
    <row r="517" s="2" customFormat="1" ht="14.1" customHeight="1" spans="1:6">
      <c r="A517" s="7" t="str">
        <f>"2101601805"</f>
        <v>2101601805</v>
      </c>
      <c r="B517" s="7" t="str">
        <f t="shared" si="27"/>
        <v>2021016</v>
      </c>
      <c r="C517" s="7" t="str">
        <f t="shared" si="29"/>
        <v>018</v>
      </c>
      <c r="D517" s="7" t="str">
        <f>"05"</f>
        <v>05</v>
      </c>
      <c r="E517" s="8">
        <v>60.4</v>
      </c>
      <c r="F517" s="7" t="s">
        <v>7</v>
      </c>
    </row>
    <row r="518" s="2" customFormat="1" ht="14.1" customHeight="1" spans="1:6">
      <c r="A518" s="7" t="str">
        <f>"2101601806"</f>
        <v>2101601806</v>
      </c>
      <c r="B518" s="7" t="str">
        <f t="shared" si="27"/>
        <v>2021016</v>
      </c>
      <c r="C518" s="7" t="str">
        <f t="shared" si="29"/>
        <v>018</v>
      </c>
      <c r="D518" s="7" t="str">
        <f>"06"</f>
        <v>06</v>
      </c>
      <c r="E518" s="8">
        <v>0</v>
      </c>
      <c r="F518" s="7" t="s">
        <v>8</v>
      </c>
    </row>
    <row r="519" s="2" customFormat="1" ht="14.1" customHeight="1" spans="1:6">
      <c r="A519" s="7" t="str">
        <f>"2101601807"</f>
        <v>2101601807</v>
      </c>
      <c r="B519" s="7" t="str">
        <f t="shared" si="27"/>
        <v>2021016</v>
      </c>
      <c r="C519" s="7" t="str">
        <f t="shared" si="29"/>
        <v>018</v>
      </c>
      <c r="D519" s="7" t="str">
        <f>"07"</f>
        <v>07</v>
      </c>
      <c r="E519" s="8">
        <v>59</v>
      </c>
      <c r="F519" s="7" t="s">
        <v>7</v>
      </c>
    </row>
    <row r="520" s="2" customFormat="1" ht="14.1" customHeight="1" spans="1:6">
      <c r="A520" s="7" t="str">
        <f>"2101601808"</f>
        <v>2101601808</v>
      </c>
      <c r="B520" s="7" t="str">
        <f t="shared" si="27"/>
        <v>2021016</v>
      </c>
      <c r="C520" s="7" t="str">
        <f t="shared" si="29"/>
        <v>018</v>
      </c>
      <c r="D520" s="7" t="str">
        <f>"08"</f>
        <v>08</v>
      </c>
      <c r="E520" s="8">
        <v>0</v>
      </c>
      <c r="F520" s="7" t="s">
        <v>8</v>
      </c>
    </row>
    <row r="521" s="2" customFormat="1" ht="14.1" customHeight="1" spans="1:6">
      <c r="A521" s="7" t="str">
        <f>"2101601809"</f>
        <v>2101601809</v>
      </c>
      <c r="B521" s="7" t="str">
        <f t="shared" si="27"/>
        <v>2021016</v>
      </c>
      <c r="C521" s="7" t="str">
        <f t="shared" si="29"/>
        <v>018</v>
      </c>
      <c r="D521" s="7" t="str">
        <f>"09"</f>
        <v>09</v>
      </c>
      <c r="E521" s="8">
        <v>0</v>
      </c>
      <c r="F521" s="7" t="s">
        <v>8</v>
      </c>
    </row>
    <row r="522" s="2" customFormat="1" ht="14.1" customHeight="1" spans="1:6">
      <c r="A522" s="7" t="str">
        <f>"2101601810"</f>
        <v>2101601810</v>
      </c>
      <c r="B522" s="7" t="str">
        <f t="shared" si="27"/>
        <v>2021016</v>
      </c>
      <c r="C522" s="7" t="str">
        <f t="shared" si="29"/>
        <v>018</v>
      </c>
      <c r="D522" s="7" t="str">
        <f>"10"</f>
        <v>10</v>
      </c>
      <c r="E522" s="8">
        <v>58.7</v>
      </c>
      <c r="F522" s="7" t="s">
        <v>7</v>
      </c>
    </row>
    <row r="523" s="2" customFormat="1" ht="14.1" customHeight="1" spans="1:6">
      <c r="A523" s="7" t="str">
        <f>"2101601811"</f>
        <v>2101601811</v>
      </c>
      <c r="B523" s="7" t="str">
        <f t="shared" si="27"/>
        <v>2021016</v>
      </c>
      <c r="C523" s="7" t="str">
        <f t="shared" si="29"/>
        <v>018</v>
      </c>
      <c r="D523" s="7" t="str">
        <f>"11"</f>
        <v>11</v>
      </c>
      <c r="E523" s="8">
        <v>59</v>
      </c>
      <c r="F523" s="7" t="s">
        <v>7</v>
      </c>
    </row>
    <row r="524" s="2" customFormat="1" ht="14.1" customHeight="1" spans="1:6">
      <c r="A524" s="7" t="str">
        <f>"2101601812"</f>
        <v>2101601812</v>
      </c>
      <c r="B524" s="7" t="str">
        <f t="shared" si="27"/>
        <v>2021016</v>
      </c>
      <c r="C524" s="7" t="str">
        <f t="shared" si="29"/>
        <v>018</v>
      </c>
      <c r="D524" s="7" t="str">
        <f>"12"</f>
        <v>12</v>
      </c>
      <c r="E524" s="8">
        <v>61.6</v>
      </c>
      <c r="F524" s="7" t="s">
        <v>7</v>
      </c>
    </row>
    <row r="525" s="2" customFormat="1" ht="14.1" customHeight="1" spans="1:6">
      <c r="A525" s="7" t="str">
        <f>"2101601813"</f>
        <v>2101601813</v>
      </c>
      <c r="B525" s="7" t="str">
        <f t="shared" si="27"/>
        <v>2021016</v>
      </c>
      <c r="C525" s="7" t="str">
        <f t="shared" si="29"/>
        <v>018</v>
      </c>
      <c r="D525" s="7" t="str">
        <f>"13"</f>
        <v>13</v>
      </c>
      <c r="E525" s="8">
        <v>0</v>
      </c>
      <c r="F525" s="7" t="s">
        <v>8</v>
      </c>
    </row>
    <row r="526" s="2" customFormat="1" ht="14.1" customHeight="1" spans="1:6">
      <c r="A526" s="7" t="str">
        <f>"2101601814"</f>
        <v>2101601814</v>
      </c>
      <c r="B526" s="7" t="str">
        <f t="shared" si="27"/>
        <v>2021016</v>
      </c>
      <c r="C526" s="7" t="str">
        <f t="shared" si="29"/>
        <v>018</v>
      </c>
      <c r="D526" s="7" t="str">
        <f>"14"</f>
        <v>14</v>
      </c>
      <c r="E526" s="8">
        <v>0</v>
      </c>
      <c r="F526" s="7" t="s">
        <v>8</v>
      </c>
    </row>
    <row r="527" s="2" customFormat="1" ht="14.1" customHeight="1" spans="1:6">
      <c r="A527" s="7" t="str">
        <f>"2101601815"</f>
        <v>2101601815</v>
      </c>
      <c r="B527" s="7" t="str">
        <f t="shared" si="27"/>
        <v>2021016</v>
      </c>
      <c r="C527" s="7" t="str">
        <f t="shared" si="29"/>
        <v>018</v>
      </c>
      <c r="D527" s="7" t="str">
        <f>"15"</f>
        <v>15</v>
      </c>
      <c r="E527" s="8">
        <v>0</v>
      </c>
      <c r="F527" s="7" t="s">
        <v>8</v>
      </c>
    </row>
    <row r="528" s="2" customFormat="1" ht="14.1" customHeight="1" spans="1:6">
      <c r="A528" s="7" t="str">
        <f>"2101601816"</f>
        <v>2101601816</v>
      </c>
      <c r="B528" s="7" t="str">
        <f t="shared" si="27"/>
        <v>2021016</v>
      </c>
      <c r="C528" s="7" t="str">
        <f t="shared" si="29"/>
        <v>018</v>
      </c>
      <c r="D528" s="7" t="str">
        <f>"16"</f>
        <v>16</v>
      </c>
      <c r="E528" s="8">
        <v>64.8</v>
      </c>
      <c r="F528" s="7" t="s">
        <v>7</v>
      </c>
    </row>
    <row r="529" s="2" customFormat="1" ht="14.1" customHeight="1" spans="1:6">
      <c r="A529" s="7" t="str">
        <f>"2101601817"</f>
        <v>2101601817</v>
      </c>
      <c r="B529" s="7" t="str">
        <f t="shared" si="27"/>
        <v>2021016</v>
      </c>
      <c r="C529" s="7" t="str">
        <f t="shared" si="29"/>
        <v>018</v>
      </c>
      <c r="D529" s="7" t="str">
        <f>"17"</f>
        <v>17</v>
      </c>
      <c r="E529" s="8">
        <v>0</v>
      </c>
      <c r="F529" s="7" t="s">
        <v>8</v>
      </c>
    </row>
    <row r="530" s="2" customFormat="1" ht="14.1" customHeight="1" spans="1:6">
      <c r="A530" s="7" t="str">
        <f>"2101601818"</f>
        <v>2101601818</v>
      </c>
      <c r="B530" s="7" t="str">
        <f t="shared" si="27"/>
        <v>2021016</v>
      </c>
      <c r="C530" s="7" t="str">
        <f t="shared" si="29"/>
        <v>018</v>
      </c>
      <c r="D530" s="7" t="str">
        <f>"18"</f>
        <v>18</v>
      </c>
      <c r="E530" s="8">
        <v>0</v>
      </c>
      <c r="F530" s="7" t="s">
        <v>8</v>
      </c>
    </row>
    <row r="531" s="2" customFormat="1" ht="14.1" customHeight="1" spans="1:6">
      <c r="A531" s="7" t="str">
        <f>"2101601819"</f>
        <v>2101601819</v>
      </c>
      <c r="B531" s="7" t="str">
        <f t="shared" si="27"/>
        <v>2021016</v>
      </c>
      <c r="C531" s="7" t="str">
        <f t="shared" si="29"/>
        <v>018</v>
      </c>
      <c r="D531" s="7" t="str">
        <f>"19"</f>
        <v>19</v>
      </c>
      <c r="E531" s="8">
        <v>53.1</v>
      </c>
      <c r="F531" s="7" t="s">
        <v>7</v>
      </c>
    </row>
    <row r="532" s="2" customFormat="1" ht="14.1" customHeight="1" spans="1:6">
      <c r="A532" s="7" t="str">
        <f>"2101601820"</f>
        <v>2101601820</v>
      </c>
      <c r="B532" s="7" t="str">
        <f t="shared" si="27"/>
        <v>2021016</v>
      </c>
      <c r="C532" s="7" t="str">
        <f t="shared" si="29"/>
        <v>018</v>
      </c>
      <c r="D532" s="7" t="str">
        <f>"20"</f>
        <v>20</v>
      </c>
      <c r="E532" s="8">
        <v>42.8</v>
      </c>
      <c r="F532" s="7" t="s">
        <v>7</v>
      </c>
    </row>
    <row r="533" s="2" customFormat="1" ht="14.1" customHeight="1" spans="1:6">
      <c r="A533" s="7" t="str">
        <f>"2101601821"</f>
        <v>2101601821</v>
      </c>
      <c r="B533" s="7" t="str">
        <f t="shared" si="27"/>
        <v>2021016</v>
      </c>
      <c r="C533" s="7" t="str">
        <f t="shared" si="29"/>
        <v>018</v>
      </c>
      <c r="D533" s="7" t="str">
        <f>"21"</f>
        <v>21</v>
      </c>
      <c r="E533" s="8">
        <v>0</v>
      </c>
      <c r="F533" s="7" t="s">
        <v>8</v>
      </c>
    </row>
    <row r="534" s="2" customFormat="1" ht="14.1" customHeight="1" spans="1:6">
      <c r="A534" s="7" t="str">
        <f>"2101601822"</f>
        <v>2101601822</v>
      </c>
      <c r="B534" s="7" t="str">
        <f t="shared" si="27"/>
        <v>2021016</v>
      </c>
      <c r="C534" s="7" t="str">
        <f t="shared" si="29"/>
        <v>018</v>
      </c>
      <c r="D534" s="7" t="str">
        <f>"22"</f>
        <v>22</v>
      </c>
      <c r="E534" s="8">
        <v>61.4</v>
      </c>
      <c r="F534" s="7" t="s">
        <v>7</v>
      </c>
    </row>
    <row r="535" s="2" customFormat="1" ht="14.1" customHeight="1" spans="1:6">
      <c r="A535" s="7" t="str">
        <f>"2101601823"</f>
        <v>2101601823</v>
      </c>
      <c r="B535" s="7" t="str">
        <f t="shared" si="27"/>
        <v>2021016</v>
      </c>
      <c r="C535" s="7" t="str">
        <f t="shared" si="29"/>
        <v>018</v>
      </c>
      <c r="D535" s="7" t="str">
        <f>"23"</f>
        <v>23</v>
      </c>
      <c r="E535" s="8">
        <v>0</v>
      </c>
      <c r="F535" s="7" t="s">
        <v>8</v>
      </c>
    </row>
    <row r="536" s="2" customFormat="1" ht="14.1" customHeight="1" spans="1:6">
      <c r="A536" s="7" t="str">
        <f>"2101601824"</f>
        <v>2101601824</v>
      </c>
      <c r="B536" s="7" t="str">
        <f t="shared" ref="B536:B559" si="30">"2021016"</f>
        <v>2021016</v>
      </c>
      <c r="C536" s="7" t="str">
        <f t="shared" si="29"/>
        <v>018</v>
      </c>
      <c r="D536" s="7" t="str">
        <f>"24"</f>
        <v>24</v>
      </c>
      <c r="E536" s="8">
        <v>0</v>
      </c>
      <c r="F536" s="7" t="s">
        <v>8</v>
      </c>
    </row>
    <row r="537" s="2" customFormat="1" ht="14.1" customHeight="1" spans="1:6">
      <c r="A537" s="7" t="str">
        <f>"2101601825"</f>
        <v>2101601825</v>
      </c>
      <c r="B537" s="7" t="str">
        <f t="shared" si="30"/>
        <v>2021016</v>
      </c>
      <c r="C537" s="7" t="str">
        <f t="shared" si="29"/>
        <v>018</v>
      </c>
      <c r="D537" s="7" t="str">
        <f>"25"</f>
        <v>25</v>
      </c>
      <c r="E537" s="8">
        <v>73.6</v>
      </c>
      <c r="F537" s="7" t="s">
        <v>7</v>
      </c>
    </row>
    <row r="538" s="2" customFormat="1" ht="14.1" customHeight="1" spans="1:6">
      <c r="A538" s="7" t="str">
        <f>"2101601826"</f>
        <v>2101601826</v>
      </c>
      <c r="B538" s="7" t="str">
        <f t="shared" si="30"/>
        <v>2021016</v>
      </c>
      <c r="C538" s="7" t="str">
        <f t="shared" si="29"/>
        <v>018</v>
      </c>
      <c r="D538" s="7" t="str">
        <f>"26"</f>
        <v>26</v>
      </c>
      <c r="E538" s="8">
        <v>55.1</v>
      </c>
      <c r="F538" s="7" t="s">
        <v>7</v>
      </c>
    </row>
    <row r="539" s="2" customFormat="1" ht="14.1" customHeight="1" spans="1:6">
      <c r="A539" s="7" t="str">
        <f>"2101601827"</f>
        <v>2101601827</v>
      </c>
      <c r="B539" s="7" t="str">
        <f t="shared" si="30"/>
        <v>2021016</v>
      </c>
      <c r="C539" s="7" t="str">
        <f t="shared" si="29"/>
        <v>018</v>
      </c>
      <c r="D539" s="7" t="str">
        <f>"27"</f>
        <v>27</v>
      </c>
      <c r="E539" s="8">
        <v>73.3</v>
      </c>
      <c r="F539" s="7" t="s">
        <v>7</v>
      </c>
    </row>
    <row r="540" s="2" customFormat="1" ht="14.1" customHeight="1" spans="1:6">
      <c r="A540" s="7" t="str">
        <f>"2101601828"</f>
        <v>2101601828</v>
      </c>
      <c r="B540" s="7" t="str">
        <f t="shared" si="30"/>
        <v>2021016</v>
      </c>
      <c r="C540" s="7" t="str">
        <f t="shared" si="29"/>
        <v>018</v>
      </c>
      <c r="D540" s="7" t="str">
        <f>"28"</f>
        <v>28</v>
      </c>
      <c r="E540" s="8">
        <v>66.2</v>
      </c>
      <c r="F540" s="7" t="s">
        <v>7</v>
      </c>
    </row>
    <row r="541" s="2" customFormat="1" ht="14.1" customHeight="1" spans="1:6">
      <c r="A541" s="7" t="str">
        <f>"2101601829"</f>
        <v>2101601829</v>
      </c>
      <c r="B541" s="7" t="str">
        <f t="shared" si="30"/>
        <v>2021016</v>
      </c>
      <c r="C541" s="7" t="str">
        <f t="shared" si="29"/>
        <v>018</v>
      </c>
      <c r="D541" s="7" t="str">
        <f>"29"</f>
        <v>29</v>
      </c>
      <c r="E541" s="8">
        <v>60.7</v>
      </c>
      <c r="F541" s="7" t="s">
        <v>7</v>
      </c>
    </row>
    <row r="542" s="2" customFormat="1" ht="14.1" customHeight="1" spans="1:6">
      <c r="A542" s="7" t="str">
        <f>"2101601830"</f>
        <v>2101601830</v>
      </c>
      <c r="B542" s="7" t="str">
        <f t="shared" si="30"/>
        <v>2021016</v>
      </c>
      <c r="C542" s="7" t="str">
        <f t="shared" si="29"/>
        <v>018</v>
      </c>
      <c r="D542" s="7" t="str">
        <f>"30"</f>
        <v>30</v>
      </c>
      <c r="E542" s="8">
        <v>61.8</v>
      </c>
      <c r="F542" s="7" t="s">
        <v>7</v>
      </c>
    </row>
    <row r="543" s="2" customFormat="1" ht="14.1" customHeight="1" spans="1:6">
      <c r="A543" s="7" t="str">
        <f>"2101601901"</f>
        <v>2101601901</v>
      </c>
      <c r="B543" s="7" t="str">
        <f t="shared" si="30"/>
        <v>2021016</v>
      </c>
      <c r="C543" s="7" t="str">
        <f t="shared" ref="C543:C572" si="31">"019"</f>
        <v>019</v>
      </c>
      <c r="D543" s="7" t="str">
        <f>"01"</f>
        <v>01</v>
      </c>
      <c r="E543" s="8">
        <v>0</v>
      </c>
      <c r="F543" s="7" t="s">
        <v>8</v>
      </c>
    </row>
    <row r="544" s="2" customFormat="1" ht="14.1" customHeight="1" spans="1:6">
      <c r="A544" s="7" t="str">
        <f>"2101601902"</f>
        <v>2101601902</v>
      </c>
      <c r="B544" s="7" t="str">
        <f t="shared" si="30"/>
        <v>2021016</v>
      </c>
      <c r="C544" s="7" t="str">
        <f t="shared" si="31"/>
        <v>019</v>
      </c>
      <c r="D544" s="7" t="str">
        <f>"02"</f>
        <v>02</v>
      </c>
      <c r="E544" s="8">
        <v>65.5</v>
      </c>
      <c r="F544" s="7" t="s">
        <v>7</v>
      </c>
    </row>
    <row r="545" s="2" customFormat="1" ht="14.1" customHeight="1" spans="1:6">
      <c r="A545" s="7" t="str">
        <f>"2101601903"</f>
        <v>2101601903</v>
      </c>
      <c r="B545" s="7" t="str">
        <f t="shared" si="30"/>
        <v>2021016</v>
      </c>
      <c r="C545" s="7" t="str">
        <f t="shared" si="31"/>
        <v>019</v>
      </c>
      <c r="D545" s="7" t="str">
        <f>"03"</f>
        <v>03</v>
      </c>
      <c r="E545" s="8">
        <v>54</v>
      </c>
      <c r="F545" s="7" t="s">
        <v>7</v>
      </c>
    </row>
    <row r="546" s="2" customFormat="1" ht="14.1" customHeight="1" spans="1:6">
      <c r="A546" s="7" t="str">
        <f>"2101601904"</f>
        <v>2101601904</v>
      </c>
      <c r="B546" s="7" t="str">
        <f t="shared" si="30"/>
        <v>2021016</v>
      </c>
      <c r="C546" s="7" t="str">
        <f t="shared" si="31"/>
        <v>019</v>
      </c>
      <c r="D546" s="7" t="str">
        <f>"04"</f>
        <v>04</v>
      </c>
      <c r="E546" s="8">
        <v>59.2</v>
      </c>
      <c r="F546" s="7" t="s">
        <v>7</v>
      </c>
    </row>
    <row r="547" s="2" customFormat="1" ht="14.1" customHeight="1" spans="1:6">
      <c r="A547" s="7" t="str">
        <f>"2101601905"</f>
        <v>2101601905</v>
      </c>
      <c r="B547" s="7" t="str">
        <f t="shared" si="30"/>
        <v>2021016</v>
      </c>
      <c r="C547" s="7" t="str">
        <f t="shared" si="31"/>
        <v>019</v>
      </c>
      <c r="D547" s="7" t="str">
        <f>"05"</f>
        <v>05</v>
      </c>
      <c r="E547" s="8">
        <v>53</v>
      </c>
      <c r="F547" s="7" t="s">
        <v>7</v>
      </c>
    </row>
    <row r="548" s="2" customFormat="1" ht="14.1" customHeight="1" spans="1:6">
      <c r="A548" s="7" t="str">
        <f>"2101601906"</f>
        <v>2101601906</v>
      </c>
      <c r="B548" s="7" t="str">
        <f t="shared" si="30"/>
        <v>2021016</v>
      </c>
      <c r="C548" s="7" t="str">
        <f t="shared" si="31"/>
        <v>019</v>
      </c>
      <c r="D548" s="7" t="str">
        <f>"06"</f>
        <v>06</v>
      </c>
      <c r="E548" s="8">
        <v>52.1</v>
      </c>
      <c r="F548" s="7" t="s">
        <v>7</v>
      </c>
    </row>
    <row r="549" s="2" customFormat="1" ht="14.1" customHeight="1" spans="1:6">
      <c r="A549" s="7" t="str">
        <f>"2101601907"</f>
        <v>2101601907</v>
      </c>
      <c r="B549" s="7" t="str">
        <f t="shared" si="30"/>
        <v>2021016</v>
      </c>
      <c r="C549" s="7" t="str">
        <f t="shared" si="31"/>
        <v>019</v>
      </c>
      <c r="D549" s="7" t="str">
        <f>"07"</f>
        <v>07</v>
      </c>
      <c r="E549" s="8">
        <v>52.7</v>
      </c>
      <c r="F549" s="7" t="s">
        <v>7</v>
      </c>
    </row>
    <row r="550" s="2" customFormat="1" ht="14.1" customHeight="1" spans="1:6">
      <c r="A550" s="7" t="str">
        <f>"2101601908"</f>
        <v>2101601908</v>
      </c>
      <c r="B550" s="7" t="str">
        <f t="shared" si="30"/>
        <v>2021016</v>
      </c>
      <c r="C550" s="7" t="str">
        <f t="shared" si="31"/>
        <v>019</v>
      </c>
      <c r="D550" s="7" t="str">
        <f>"08"</f>
        <v>08</v>
      </c>
      <c r="E550" s="8">
        <v>0</v>
      </c>
      <c r="F550" s="7" t="s">
        <v>8</v>
      </c>
    </row>
    <row r="551" s="2" customFormat="1" ht="14.1" customHeight="1" spans="1:6">
      <c r="A551" s="7" t="str">
        <f>"2101601909"</f>
        <v>2101601909</v>
      </c>
      <c r="B551" s="7" t="str">
        <f t="shared" si="30"/>
        <v>2021016</v>
      </c>
      <c r="C551" s="7" t="str">
        <f t="shared" si="31"/>
        <v>019</v>
      </c>
      <c r="D551" s="7" t="str">
        <f>"09"</f>
        <v>09</v>
      </c>
      <c r="E551" s="8">
        <v>0</v>
      </c>
      <c r="F551" s="7" t="s">
        <v>8</v>
      </c>
    </row>
    <row r="552" s="2" customFormat="1" ht="14.1" customHeight="1" spans="1:6">
      <c r="A552" s="7" t="str">
        <f>"2101601910"</f>
        <v>2101601910</v>
      </c>
      <c r="B552" s="7" t="str">
        <f t="shared" si="30"/>
        <v>2021016</v>
      </c>
      <c r="C552" s="7" t="str">
        <f t="shared" si="31"/>
        <v>019</v>
      </c>
      <c r="D552" s="7" t="str">
        <f>"10"</f>
        <v>10</v>
      </c>
      <c r="E552" s="8">
        <v>55.8</v>
      </c>
      <c r="F552" s="7" t="s">
        <v>7</v>
      </c>
    </row>
    <row r="553" s="2" customFormat="1" ht="14.1" customHeight="1" spans="1:6">
      <c r="A553" s="7" t="str">
        <f>"2101601911"</f>
        <v>2101601911</v>
      </c>
      <c r="B553" s="7" t="str">
        <f t="shared" si="30"/>
        <v>2021016</v>
      </c>
      <c r="C553" s="7" t="str">
        <f t="shared" si="31"/>
        <v>019</v>
      </c>
      <c r="D553" s="7" t="str">
        <f>"11"</f>
        <v>11</v>
      </c>
      <c r="E553" s="8">
        <v>55.5</v>
      </c>
      <c r="F553" s="7" t="s">
        <v>7</v>
      </c>
    </row>
    <row r="554" s="2" customFormat="1" ht="14.1" customHeight="1" spans="1:6">
      <c r="A554" s="7" t="str">
        <f>"2101601912"</f>
        <v>2101601912</v>
      </c>
      <c r="B554" s="7" t="str">
        <f t="shared" si="30"/>
        <v>2021016</v>
      </c>
      <c r="C554" s="7" t="str">
        <f t="shared" si="31"/>
        <v>019</v>
      </c>
      <c r="D554" s="7" t="str">
        <f>"12"</f>
        <v>12</v>
      </c>
      <c r="E554" s="8">
        <v>0</v>
      </c>
      <c r="F554" s="7" t="s">
        <v>8</v>
      </c>
    </row>
    <row r="555" s="2" customFormat="1" ht="14.1" customHeight="1" spans="1:6">
      <c r="A555" s="7" t="str">
        <f>"2101601913"</f>
        <v>2101601913</v>
      </c>
      <c r="B555" s="7" t="str">
        <f t="shared" si="30"/>
        <v>2021016</v>
      </c>
      <c r="C555" s="7" t="str">
        <f t="shared" si="31"/>
        <v>019</v>
      </c>
      <c r="D555" s="7" t="str">
        <f>"13"</f>
        <v>13</v>
      </c>
      <c r="E555" s="8">
        <v>0</v>
      </c>
      <c r="F555" s="7" t="s">
        <v>8</v>
      </c>
    </row>
    <row r="556" s="2" customFormat="1" ht="14.1" customHeight="1" spans="1:6">
      <c r="A556" s="7" t="str">
        <f>"2101601914"</f>
        <v>2101601914</v>
      </c>
      <c r="B556" s="7" t="str">
        <f t="shared" si="30"/>
        <v>2021016</v>
      </c>
      <c r="C556" s="7" t="str">
        <f t="shared" si="31"/>
        <v>019</v>
      </c>
      <c r="D556" s="7" t="str">
        <f>"14"</f>
        <v>14</v>
      </c>
      <c r="E556" s="8">
        <v>0</v>
      </c>
      <c r="F556" s="7" t="s">
        <v>8</v>
      </c>
    </row>
    <row r="557" s="2" customFormat="1" ht="14.1" customHeight="1" spans="1:6">
      <c r="A557" s="7" t="str">
        <f>"2101601915"</f>
        <v>2101601915</v>
      </c>
      <c r="B557" s="7" t="str">
        <f t="shared" si="30"/>
        <v>2021016</v>
      </c>
      <c r="C557" s="7" t="str">
        <f t="shared" si="31"/>
        <v>019</v>
      </c>
      <c r="D557" s="7" t="str">
        <f>"15"</f>
        <v>15</v>
      </c>
      <c r="E557" s="8">
        <v>0</v>
      </c>
      <c r="F557" s="7" t="s">
        <v>8</v>
      </c>
    </row>
    <row r="558" s="2" customFormat="1" ht="14.1" customHeight="1" spans="1:6">
      <c r="A558" s="7" t="str">
        <f>"2101601916"</f>
        <v>2101601916</v>
      </c>
      <c r="B558" s="7" t="str">
        <f t="shared" si="30"/>
        <v>2021016</v>
      </c>
      <c r="C558" s="7" t="str">
        <f t="shared" si="31"/>
        <v>019</v>
      </c>
      <c r="D558" s="7" t="str">
        <f>"16"</f>
        <v>16</v>
      </c>
      <c r="E558" s="8">
        <v>61.1</v>
      </c>
      <c r="F558" s="7" t="s">
        <v>7</v>
      </c>
    </row>
    <row r="559" s="2" customFormat="1" ht="14.1" customHeight="1" spans="1:6">
      <c r="A559" s="7" t="str">
        <f>"2101601917"</f>
        <v>2101601917</v>
      </c>
      <c r="B559" s="7" t="str">
        <f t="shared" si="30"/>
        <v>2021016</v>
      </c>
      <c r="C559" s="7" t="str">
        <f t="shared" si="31"/>
        <v>019</v>
      </c>
      <c r="D559" s="7" t="str">
        <f>"17"</f>
        <v>17</v>
      </c>
      <c r="E559" s="8">
        <v>68.3</v>
      </c>
      <c r="F559" s="7" t="s">
        <v>7</v>
      </c>
    </row>
    <row r="560" s="2" customFormat="1" ht="14.1" customHeight="1" spans="1:6">
      <c r="A560" s="7" t="str">
        <f>"2101701918"</f>
        <v>2101701918</v>
      </c>
      <c r="B560" s="7" t="str">
        <f t="shared" ref="B560:B623" si="32">"2021017"</f>
        <v>2021017</v>
      </c>
      <c r="C560" s="7" t="str">
        <f t="shared" si="31"/>
        <v>019</v>
      </c>
      <c r="D560" s="7" t="str">
        <f>"18"</f>
        <v>18</v>
      </c>
      <c r="E560" s="8">
        <v>65.8</v>
      </c>
      <c r="F560" s="7" t="s">
        <v>7</v>
      </c>
    </row>
    <row r="561" s="2" customFormat="1" ht="14.1" customHeight="1" spans="1:6">
      <c r="A561" s="7" t="str">
        <f>"2101701919"</f>
        <v>2101701919</v>
      </c>
      <c r="B561" s="7" t="str">
        <f t="shared" si="32"/>
        <v>2021017</v>
      </c>
      <c r="C561" s="7" t="str">
        <f t="shared" si="31"/>
        <v>019</v>
      </c>
      <c r="D561" s="7" t="str">
        <f>"19"</f>
        <v>19</v>
      </c>
      <c r="E561" s="8">
        <v>0</v>
      </c>
      <c r="F561" s="7" t="s">
        <v>8</v>
      </c>
    </row>
    <row r="562" s="2" customFormat="1" ht="14.1" customHeight="1" spans="1:6">
      <c r="A562" s="7" t="str">
        <f>"2101701920"</f>
        <v>2101701920</v>
      </c>
      <c r="B562" s="7" t="str">
        <f t="shared" si="32"/>
        <v>2021017</v>
      </c>
      <c r="C562" s="7" t="str">
        <f t="shared" si="31"/>
        <v>019</v>
      </c>
      <c r="D562" s="7" t="str">
        <f>"20"</f>
        <v>20</v>
      </c>
      <c r="E562" s="8">
        <v>64.7</v>
      </c>
      <c r="F562" s="7" t="s">
        <v>7</v>
      </c>
    </row>
    <row r="563" s="2" customFormat="1" ht="14.1" customHeight="1" spans="1:6">
      <c r="A563" s="7" t="str">
        <f>"2101701921"</f>
        <v>2101701921</v>
      </c>
      <c r="B563" s="7" t="str">
        <f t="shared" si="32"/>
        <v>2021017</v>
      </c>
      <c r="C563" s="7" t="str">
        <f t="shared" si="31"/>
        <v>019</v>
      </c>
      <c r="D563" s="7" t="str">
        <f>"21"</f>
        <v>21</v>
      </c>
      <c r="E563" s="8">
        <v>66</v>
      </c>
      <c r="F563" s="7" t="s">
        <v>7</v>
      </c>
    </row>
    <row r="564" s="2" customFormat="1" ht="14.1" customHeight="1" spans="1:6">
      <c r="A564" s="7" t="str">
        <f>"2101701922"</f>
        <v>2101701922</v>
      </c>
      <c r="B564" s="7" t="str">
        <f t="shared" si="32"/>
        <v>2021017</v>
      </c>
      <c r="C564" s="7" t="str">
        <f t="shared" si="31"/>
        <v>019</v>
      </c>
      <c r="D564" s="7" t="str">
        <f>"22"</f>
        <v>22</v>
      </c>
      <c r="E564" s="8">
        <v>66.3</v>
      </c>
      <c r="F564" s="7" t="s">
        <v>7</v>
      </c>
    </row>
    <row r="565" s="2" customFormat="1" ht="14.1" customHeight="1" spans="1:6">
      <c r="A565" s="7" t="str">
        <f>"2101701923"</f>
        <v>2101701923</v>
      </c>
      <c r="B565" s="7" t="str">
        <f t="shared" si="32"/>
        <v>2021017</v>
      </c>
      <c r="C565" s="7" t="str">
        <f t="shared" si="31"/>
        <v>019</v>
      </c>
      <c r="D565" s="7" t="str">
        <f>"23"</f>
        <v>23</v>
      </c>
      <c r="E565" s="8">
        <v>0</v>
      </c>
      <c r="F565" s="7" t="s">
        <v>8</v>
      </c>
    </row>
    <row r="566" s="2" customFormat="1" ht="14.1" customHeight="1" spans="1:6">
      <c r="A566" s="7" t="str">
        <f>"2101701924"</f>
        <v>2101701924</v>
      </c>
      <c r="B566" s="7" t="str">
        <f t="shared" si="32"/>
        <v>2021017</v>
      </c>
      <c r="C566" s="7" t="str">
        <f t="shared" si="31"/>
        <v>019</v>
      </c>
      <c r="D566" s="7" t="str">
        <f>"24"</f>
        <v>24</v>
      </c>
      <c r="E566" s="8">
        <v>0</v>
      </c>
      <c r="F566" s="7" t="s">
        <v>8</v>
      </c>
    </row>
    <row r="567" s="2" customFormat="1" ht="14.1" customHeight="1" spans="1:6">
      <c r="A567" s="7" t="str">
        <f>"2101701925"</f>
        <v>2101701925</v>
      </c>
      <c r="B567" s="7" t="str">
        <f t="shared" si="32"/>
        <v>2021017</v>
      </c>
      <c r="C567" s="7" t="str">
        <f t="shared" si="31"/>
        <v>019</v>
      </c>
      <c r="D567" s="7" t="str">
        <f>"25"</f>
        <v>25</v>
      </c>
      <c r="E567" s="8">
        <v>0</v>
      </c>
      <c r="F567" s="7" t="s">
        <v>8</v>
      </c>
    </row>
    <row r="568" s="2" customFormat="1" ht="14.1" customHeight="1" spans="1:6">
      <c r="A568" s="7" t="str">
        <f>"2101701926"</f>
        <v>2101701926</v>
      </c>
      <c r="B568" s="7" t="str">
        <f t="shared" si="32"/>
        <v>2021017</v>
      </c>
      <c r="C568" s="7" t="str">
        <f t="shared" si="31"/>
        <v>019</v>
      </c>
      <c r="D568" s="7" t="str">
        <f>"26"</f>
        <v>26</v>
      </c>
      <c r="E568" s="8">
        <v>0</v>
      </c>
      <c r="F568" s="7" t="s">
        <v>8</v>
      </c>
    </row>
    <row r="569" s="2" customFormat="1" ht="14.1" customHeight="1" spans="1:6">
      <c r="A569" s="7" t="str">
        <f>"2101701927"</f>
        <v>2101701927</v>
      </c>
      <c r="B569" s="7" t="str">
        <f t="shared" si="32"/>
        <v>2021017</v>
      </c>
      <c r="C569" s="7" t="str">
        <f t="shared" si="31"/>
        <v>019</v>
      </c>
      <c r="D569" s="7" t="str">
        <f>"27"</f>
        <v>27</v>
      </c>
      <c r="E569" s="8">
        <v>0</v>
      </c>
      <c r="F569" s="7" t="s">
        <v>8</v>
      </c>
    </row>
    <row r="570" s="2" customFormat="1" ht="14.1" customHeight="1" spans="1:6">
      <c r="A570" s="7" t="str">
        <f>"2101701928"</f>
        <v>2101701928</v>
      </c>
      <c r="B570" s="7" t="str">
        <f t="shared" si="32"/>
        <v>2021017</v>
      </c>
      <c r="C570" s="7" t="str">
        <f t="shared" si="31"/>
        <v>019</v>
      </c>
      <c r="D570" s="7" t="str">
        <f>"28"</f>
        <v>28</v>
      </c>
      <c r="E570" s="8">
        <v>0</v>
      </c>
      <c r="F570" s="7" t="s">
        <v>8</v>
      </c>
    </row>
    <row r="571" s="2" customFormat="1" ht="14.1" customHeight="1" spans="1:6">
      <c r="A571" s="7" t="str">
        <f>"2101701929"</f>
        <v>2101701929</v>
      </c>
      <c r="B571" s="7" t="str">
        <f t="shared" si="32"/>
        <v>2021017</v>
      </c>
      <c r="C571" s="7" t="str">
        <f t="shared" si="31"/>
        <v>019</v>
      </c>
      <c r="D571" s="7" t="str">
        <f>"29"</f>
        <v>29</v>
      </c>
      <c r="E571" s="8">
        <v>0</v>
      </c>
      <c r="F571" s="7" t="s">
        <v>8</v>
      </c>
    </row>
    <row r="572" s="2" customFormat="1" ht="14.1" customHeight="1" spans="1:6">
      <c r="A572" s="7" t="str">
        <f>"2101701930"</f>
        <v>2101701930</v>
      </c>
      <c r="B572" s="7" t="str">
        <f t="shared" si="32"/>
        <v>2021017</v>
      </c>
      <c r="C572" s="7" t="str">
        <f t="shared" si="31"/>
        <v>019</v>
      </c>
      <c r="D572" s="7" t="str">
        <f>"30"</f>
        <v>30</v>
      </c>
      <c r="E572" s="8">
        <v>0</v>
      </c>
      <c r="F572" s="7" t="s">
        <v>8</v>
      </c>
    </row>
    <row r="573" s="2" customFormat="1" ht="14.1" customHeight="1" spans="1:6">
      <c r="A573" s="7" t="str">
        <f>"2101702001"</f>
        <v>2101702001</v>
      </c>
      <c r="B573" s="7" t="str">
        <f t="shared" si="32"/>
        <v>2021017</v>
      </c>
      <c r="C573" s="7" t="str">
        <f t="shared" ref="C573:C602" si="33">"020"</f>
        <v>020</v>
      </c>
      <c r="D573" s="7" t="str">
        <f>"01"</f>
        <v>01</v>
      </c>
      <c r="E573" s="8">
        <v>63.6</v>
      </c>
      <c r="F573" s="7" t="s">
        <v>7</v>
      </c>
    </row>
    <row r="574" s="2" customFormat="1" ht="14.1" customHeight="1" spans="1:6">
      <c r="A574" s="7" t="str">
        <f>"2101702002"</f>
        <v>2101702002</v>
      </c>
      <c r="B574" s="7" t="str">
        <f t="shared" si="32"/>
        <v>2021017</v>
      </c>
      <c r="C574" s="7" t="str">
        <f t="shared" si="33"/>
        <v>020</v>
      </c>
      <c r="D574" s="7" t="str">
        <f>"02"</f>
        <v>02</v>
      </c>
      <c r="E574" s="8">
        <v>62.7</v>
      </c>
      <c r="F574" s="7" t="s">
        <v>7</v>
      </c>
    </row>
    <row r="575" s="2" customFormat="1" ht="14.1" customHeight="1" spans="1:6">
      <c r="A575" s="7" t="str">
        <f>"2101702003"</f>
        <v>2101702003</v>
      </c>
      <c r="B575" s="7" t="str">
        <f t="shared" si="32"/>
        <v>2021017</v>
      </c>
      <c r="C575" s="7" t="str">
        <f t="shared" si="33"/>
        <v>020</v>
      </c>
      <c r="D575" s="7" t="str">
        <f>"03"</f>
        <v>03</v>
      </c>
      <c r="E575" s="8">
        <v>0</v>
      </c>
      <c r="F575" s="7" t="s">
        <v>8</v>
      </c>
    </row>
    <row r="576" s="2" customFormat="1" ht="14.1" customHeight="1" spans="1:6">
      <c r="A576" s="7" t="str">
        <f>"2101702004"</f>
        <v>2101702004</v>
      </c>
      <c r="B576" s="7" t="str">
        <f t="shared" si="32"/>
        <v>2021017</v>
      </c>
      <c r="C576" s="7" t="str">
        <f t="shared" si="33"/>
        <v>020</v>
      </c>
      <c r="D576" s="7" t="str">
        <f>"04"</f>
        <v>04</v>
      </c>
      <c r="E576" s="8">
        <v>0</v>
      </c>
      <c r="F576" s="7" t="s">
        <v>8</v>
      </c>
    </row>
    <row r="577" s="2" customFormat="1" ht="14.1" customHeight="1" spans="1:6">
      <c r="A577" s="7" t="str">
        <f>"2101702005"</f>
        <v>2101702005</v>
      </c>
      <c r="B577" s="7" t="str">
        <f t="shared" si="32"/>
        <v>2021017</v>
      </c>
      <c r="C577" s="7" t="str">
        <f t="shared" si="33"/>
        <v>020</v>
      </c>
      <c r="D577" s="7" t="str">
        <f>"05"</f>
        <v>05</v>
      </c>
      <c r="E577" s="8">
        <v>0</v>
      </c>
      <c r="F577" s="7" t="s">
        <v>8</v>
      </c>
    </row>
    <row r="578" s="2" customFormat="1" ht="14.1" customHeight="1" spans="1:6">
      <c r="A578" s="7" t="str">
        <f>"2101702006"</f>
        <v>2101702006</v>
      </c>
      <c r="B578" s="7" t="str">
        <f t="shared" si="32"/>
        <v>2021017</v>
      </c>
      <c r="C578" s="7" t="str">
        <f t="shared" si="33"/>
        <v>020</v>
      </c>
      <c r="D578" s="7" t="str">
        <f>"06"</f>
        <v>06</v>
      </c>
      <c r="E578" s="8">
        <v>72.4</v>
      </c>
      <c r="F578" s="7" t="s">
        <v>7</v>
      </c>
    </row>
    <row r="579" s="2" customFormat="1" ht="14.1" customHeight="1" spans="1:6">
      <c r="A579" s="7" t="str">
        <f>"2101702007"</f>
        <v>2101702007</v>
      </c>
      <c r="B579" s="7" t="str">
        <f t="shared" si="32"/>
        <v>2021017</v>
      </c>
      <c r="C579" s="7" t="str">
        <f t="shared" si="33"/>
        <v>020</v>
      </c>
      <c r="D579" s="7" t="str">
        <f>"07"</f>
        <v>07</v>
      </c>
      <c r="E579" s="8">
        <v>0</v>
      </c>
      <c r="F579" s="7" t="s">
        <v>8</v>
      </c>
    </row>
    <row r="580" s="2" customFormat="1" ht="14.1" customHeight="1" spans="1:6">
      <c r="A580" s="7" t="str">
        <f>"2101702008"</f>
        <v>2101702008</v>
      </c>
      <c r="B580" s="7" t="str">
        <f t="shared" si="32"/>
        <v>2021017</v>
      </c>
      <c r="C580" s="7" t="str">
        <f t="shared" si="33"/>
        <v>020</v>
      </c>
      <c r="D580" s="7" t="str">
        <f>"08"</f>
        <v>08</v>
      </c>
      <c r="E580" s="8">
        <v>68.2</v>
      </c>
      <c r="F580" s="7" t="s">
        <v>7</v>
      </c>
    </row>
    <row r="581" s="2" customFormat="1" ht="14.1" customHeight="1" spans="1:6">
      <c r="A581" s="7" t="str">
        <f>"2101702009"</f>
        <v>2101702009</v>
      </c>
      <c r="B581" s="7" t="str">
        <f t="shared" si="32"/>
        <v>2021017</v>
      </c>
      <c r="C581" s="7" t="str">
        <f t="shared" si="33"/>
        <v>020</v>
      </c>
      <c r="D581" s="7" t="str">
        <f>"09"</f>
        <v>09</v>
      </c>
      <c r="E581" s="8">
        <v>0</v>
      </c>
      <c r="F581" s="7" t="s">
        <v>8</v>
      </c>
    </row>
    <row r="582" s="2" customFormat="1" ht="14.1" customHeight="1" spans="1:6">
      <c r="A582" s="7" t="str">
        <f>"2101702010"</f>
        <v>2101702010</v>
      </c>
      <c r="B582" s="7" t="str">
        <f t="shared" si="32"/>
        <v>2021017</v>
      </c>
      <c r="C582" s="7" t="str">
        <f t="shared" si="33"/>
        <v>020</v>
      </c>
      <c r="D582" s="7" t="str">
        <f>"10"</f>
        <v>10</v>
      </c>
      <c r="E582" s="8">
        <v>0</v>
      </c>
      <c r="F582" s="7" t="s">
        <v>8</v>
      </c>
    </row>
    <row r="583" s="2" customFormat="1" ht="14.1" customHeight="1" spans="1:6">
      <c r="A583" s="7" t="str">
        <f>"2101702011"</f>
        <v>2101702011</v>
      </c>
      <c r="B583" s="7" t="str">
        <f t="shared" si="32"/>
        <v>2021017</v>
      </c>
      <c r="C583" s="7" t="str">
        <f t="shared" si="33"/>
        <v>020</v>
      </c>
      <c r="D583" s="7" t="str">
        <f>"11"</f>
        <v>11</v>
      </c>
      <c r="E583" s="8">
        <v>0</v>
      </c>
      <c r="F583" s="7" t="s">
        <v>8</v>
      </c>
    </row>
    <row r="584" s="2" customFormat="1" ht="14.1" customHeight="1" spans="1:6">
      <c r="A584" s="7" t="str">
        <f>"2101702012"</f>
        <v>2101702012</v>
      </c>
      <c r="B584" s="7" t="str">
        <f t="shared" si="32"/>
        <v>2021017</v>
      </c>
      <c r="C584" s="7" t="str">
        <f t="shared" si="33"/>
        <v>020</v>
      </c>
      <c r="D584" s="7" t="str">
        <f>"12"</f>
        <v>12</v>
      </c>
      <c r="E584" s="8">
        <v>56</v>
      </c>
      <c r="F584" s="7" t="s">
        <v>7</v>
      </c>
    </row>
    <row r="585" s="2" customFormat="1" ht="14.1" customHeight="1" spans="1:6">
      <c r="A585" s="7" t="str">
        <f>"2101702013"</f>
        <v>2101702013</v>
      </c>
      <c r="B585" s="7" t="str">
        <f t="shared" si="32"/>
        <v>2021017</v>
      </c>
      <c r="C585" s="7" t="str">
        <f t="shared" si="33"/>
        <v>020</v>
      </c>
      <c r="D585" s="7" t="str">
        <f>"13"</f>
        <v>13</v>
      </c>
      <c r="E585" s="8">
        <v>0</v>
      </c>
      <c r="F585" s="7" t="s">
        <v>8</v>
      </c>
    </row>
    <row r="586" s="2" customFormat="1" ht="14.1" customHeight="1" spans="1:6">
      <c r="A586" s="7" t="str">
        <f>"2101702014"</f>
        <v>2101702014</v>
      </c>
      <c r="B586" s="7" t="str">
        <f t="shared" si="32"/>
        <v>2021017</v>
      </c>
      <c r="C586" s="7" t="str">
        <f t="shared" si="33"/>
        <v>020</v>
      </c>
      <c r="D586" s="7" t="str">
        <f>"14"</f>
        <v>14</v>
      </c>
      <c r="E586" s="8">
        <v>62.6</v>
      </c>
      <c r="F586" s="7" t="s">
        <v>7</v>
      </c>
    </row>
    <row r="587" s="2" customFormat="1" ht="14.1" customHeight="1" spans="1:6">
      <c r="A587" s="7" t="str">
        <f>"2101702015"</f>
        <v>2101702015</v>
      </c>
      <c r="B587" s="7" t="str">
        <f t="shared" si="32"/>
        <v>2021017</v>
      </c>
      <c r="C587" s="7" t="str">
        <f t="shared" si="33"/>
        <v>020</v>
      </c>
      <c r="D587" s="7" t="str">
        <f>"15"</f>
        <v>15</v>
      </c>
      <c r="E587" s="8">
        <v>62.6</v>
      </c>
      <c r="F587" s="7" t="s">
        <v>7</v>
      </c>
    </row>
    <row r="588" s="2" customFormat="1" ht="14.1" customHeight="1" spans="1:6">
      <c r="A588" s="7" t="str">
        <f>"2101702016"</f>
        <v>2101702016</v>
      </c>
      <c r="B588" s="7" t="str">
        <f t="shared" si="32"/>
        <v>2021017</v>
      </c>
      <c r="C588" s="7" t="str">
        <f t="shared" si="33"/>
        <v>020</v>
      </c>
      <c r="D588" s="7" t="str">
        <f>"16"</f>
        <v>16</v>
      </c>
      <c r="E588" s="8">
        <v>57.9</v>
      </c>
      <c r="F588" s="7" t="s">
        <v>7</v>
      </c>
    </row>
    <row r="589" s="2" customFormat="1" ht="14.1" customHeight="1" spans="1:6">
      <c r="A589" s="7" t="str">
        <f>"2101702017"</f>
        <v>2101702017</v>
      </c>
      <c r="B589" s="7" t="str">
        <f t="shared" si="32"/>
        <v>2021017</v>
      </c>
      <c r="C589" s="7" t="str">
        <f t="shared" si="33"/>
        <v>020</v>
      </c>
      <c r="D589" s="7" t="str">
        <f>"17"</f>
        <v>17</v>
      </c>
      <c r="E589" s="8">
        <v>0</v>
      </c>
      <c r="F589" s="7" t="s">
        <v>8</v>
      </c>
    </row>
    <row r="590" s="2" customFormat="1" ht="14.1" customHeight="1" spans="1:6">
      <c r="A590" s="7" t="str">
        <f>"2101702018"</f>
        <v>2101702018</v>
      </c>
      <c r="B590" s="7" t="str">
        <f t="shared" si="32"/>
        <v>2021017</v>
      </c>
      <c r="C590" s="7" t="str">
        <f t="shared" si="33"/>
        <v>020</v>
      </c>
      <c r="D590" s="7" t="str">
        <f>"18"</f>
        <v>18</v>
      </c>
      <c r="E590" s="8">
        <v>12</v>
      </c>
      <c r="F590" s="7" t="s">
        <v>9</v>
      </c>
    </row>
    <row r="591" s="2" customFormat="1" ht="14.1" customHeight="1" spans="1:6">
      <c r="A591" s="7" t="str">
        <f>"2101702019"</f>
        <v>2101702019</v>
      </c>
      <c r="B591" s="7" t="str">
        <f t="shared" si="32"/>
        <v>2021017</v>
      </c>
      <c r="C591" s="7" t="str">
        <f t="shared" si="33"/>
        <v>020</v>
      </c>
      <c r="D591" s="7" t="str">
        <f>"19"</f>
        <v>19</v>
      </c>
      <c r="E591" s="8">
        <v>0</v>
      </c>
      <c r="F591" s="7" t="s">
        <v>8</v>
      </c>
    </row>
    <row r="592" s="2" customFormat="1" ht="14.1" customHeight="1" spans="1:6">
      <c r="A592" s="7" t="str">
        <f>"2101702020"</f>
        <v>2101702020</v>
      </c>
      <c r="B592" s="7" t="str">
        <f t="shared" si="32"/>
        <v>2021017</v>
      </c>
      <c r="C592" s="7" t="str">
        <f t="shared" si="33"/>
        <v>020</v>
      </c>
      <c r="D592" s="7" t="str">
        <f>"20"</f>
        <v>20</v>
      </c>
      <c r="E592" s="8">
        <v>0</v>
      </c>
      <c r="F592" s="7" t="s">
        <v>8</v>
      </c>
    </row>
    <row r="593" s="2" customFormat="1" ht="14.1" customHeight="1" spans="1:6">
      <c r="A593" s="7" t="str">
        <f>"2101702021"</f>
        <v>2101702021</v>
      </c>
      <c r="B593" s="7" t="str">
        <f t="shared" si="32"/>
        <v>2021017</v>
      </c>
      <c r="C593" s="7" t="str">
        <f t="shared" si="33"/>
        <v>020</v>
      </c>
      <c r="D593" s="7" t="str">
        <f>"21"</f>
        <v>21</v>
      </c>
      <c r="E593" s="8">
        <v>61.1</v>
      </c>
      <c r="F593" s="7" t="s">
        <v>7</v>
      </c>
    </row>
    <row r="594" s="2" customFormat="1" ht="14.1" customHeight="1" spans="1:6">
      <c r="A594" s="7" t="str">
        <f>"2101702022"</f>
        <v>2101702022</v>
      </c>
      <c r="B594" s="7" t="str">
        <f t="shared" si="32"/>
        <v>2021017</v>
      </c>
      <c r="C594" s="7" t="str">
        <f t="shared" si="33"/>
        <v>020</v>
      </c>
      <c r="D594" s="7" t="str">
        <f>"22"</f>
        <v>22</v>
      </c>
      <c r="E594" s="8">
        <v>71.9</v>
      </c>
      <c r="F594" s="7" t="s">
        <v>7</v>
      </c>
    </row>
    <row r="595" s="2" customFormat="1" ht="14.1" customHeight="1" spans="1:6">
      <c r="A595" s="7" t="str">
        <f>"2101702023"</f>
        <v>2101702023</v>
      </c>
      <c r="B595" s="7" t="str">
        <f t="shared" si="32"/>
        <v>2021017</v>
      </c>
      <c r="C595" s="7" t="str">
        <f t="shared" si="33"/>
        <v>020</v>
      </c>
      <c r="D595" s="7" t="str">
        <f>"23"</f>
        <v>23</v>
      </c>
      <c r="E595" s="8">
        <v>0</v>
      </c>
      <c r="F595" s="7" t="s">
        <v>8</v>
      </c>
    </row>
    <row r="596" s="2" customFormat="1" ht="14.1" customHeight="1" spans="1:6">
      <c r="A596" s="7" t="str">
        <f>"2101702024"</f>
        <v>2101702024</v>
      </c>
      <c r="B596" s="7" t="str">
        <f t="shared" si="32"/>
        <v>2021017</v>
      </c>
      <c r="C596" s="7" t="str">
        <f t="shared" si="33"/>
        <v>020</v>
      </c>
      <c r="D596" s="7" t="str">
        <f>"24"</f>
        <v>24</v>
      </c>
      <c r="E596" s="8">
        <v>65.4</v>
      </c>
      <c r="F596" s="7" t="s">
        <v>7</v>
      </c>
    </row>
    <row r="597" s="2" customFormat="1" ht="14.1" customHeight="1" spans="1:6">
      <c r="A597" s="7" t="str">
        <f>"2101702025"</f>
        <v>2101702025</v>
      </c>
      <c r="B597" s="7" t="str">
        <f t="shared" si="32"/>
        <v>2021017</v>
      </c>
      <c r="C597" s="7" t="str">
        <f t="shared" si="33"/>
        <v>020</v>
      </c>
      <c r="D597" s="7" t="str">
        <f>"25"</f>
        <v>25</v>
      </c>
      <c r="E597" s="8">
        <v>68.3</v>
      </c>
      <c r="F597" s="7" t="s">
        <v>7</v>
      </c>
    </row>
    <row r="598" s="2" customFormat="1" ht="14.1" customHeight="1" spans="1:6">
      <c r="A598" s="7" t="str">
        <f>"2101702026"</f>
        <v>2101702026</v>
      </c>
      <c r="B598" s="7" t="str">
        <f t="shared" si="32"/>
        <v>2021017</v>
      </c>
      <c r="C598" s="7" t="str">
        <f t="shared" si="33"/>
        <v>020</v>
      </c>
      <c r="D598" s="7" t="str">
        <f>"26"</f>
        <v>26</v>
      </c>
      <c r="E598" s="8">
        <v>50.8</v>
      </c>
      <c r="F598" s="7" t="s">
        <v>7</v>
      </c>
    </row>
    <row r="599" s="2" customFormat="1" ht="14.1" customHeight="1" spans="1:6">
      <c r="A599" s="7" t="str">
        <f>"2101702027"</f>
        <v>2101702027</v>
      </c>
      <c r="B599" s="7" t="str">
        <f t="shared" si="32"/>
        <v>2021017</v>
      </c>
      <c r="C599" s="7" t="str">
        <f t="shared" si="33"/>
        <v>020</v>
      </c>
      <c r="D599" s="7" t="str">
        <f>"27"</f>
        <v>27</v>
      </c>
      <c r="E599" s="8">
        <v>61.6</v>
      </c>
      <c r="F599" s="7" t="s">
        <v>7</v>
      </c>
    </row>
    <row r="600" s="2" customFormat="1" ht="14.1" customHeight="1" spans="1:6">
      <c r="A600" s="7" t="str">
        <f>"2101702028"</f>
        <v>2101702028</v>
      </c>
      <c r="B600" s="7" t="str">
        <f t="shared" si="32"/>
        <v>2021017</v>
      </c>
      <c r="C600" s="7" t="str">
        <f t="shared" si="33"/>
        <v>020</v>
      </c>
      <c r="D600" s="7" t="str">
        <f>"28"</f>
        <v>28</v>
      </c>
      <c r="E600" s="8">
        <v>0</v>
      </c>
      <c r="F600" s="7" t="s">
        <v>8</v>
      </c>
    </row>
    <row r="601" s="2" customFormat="1" ht="14.1" customHeight="1" spans="1:6">
      <c r="A601" s="7" t="str">
        <f>"2101702029"</f>
        <v>2101702029</v>
      </c>
      <c r="B601" s="7" t="str">
        <f t="shared" si="32"/>
        <v>2021017</v>
      </c>
      <c r="C601" s="7" t="str">
        <f t="shared" si="33"/>
        <v>020</v>
      </c>
      <c r="D601" s="7" t="str">
        <f>"29"</f>
        <v>29</v>
      </c>
      <c r="E601" s="8">
        <v>49.8</v>
      </c>
      <c r="F601" s="7" t="s">
        <v>7</v>
      </c>
    </row>
    <row r="602" s="2" customFormat="1" ht="14.1" customHeight="1" spans="1:6">
      <c r="A602" s="7" t="str">
        <f>"2101702030"</f>
        <v>2101702030</v>
      </c>
      <c r="B602" s="7" t="str">
        <f t="shared" si="32"/>
        <v>2021017</v>
      </c>
      <c r="C602" s="7" t="str">
        <f t="shared" si="33"/>
        <v>020</v>
      </c>
      <c r="D602" s="7" t="str">
        <f>"30"</f>
        <v>30</v>
      </c>
      <c r="E602" s="8">
        <v>0</v>
      </c>
      <c r="F602" s="7" t="s">
        <v>8</v>
      </c>
    </row>
    <row r="603" s="2" customFormat="1" ht="14.1" customHeight="1" spans="1:6">
      <c r="A603" s="7" t="str">
        <f>"2101702101"</f>
        <v>2101702101</v>
      </c>
      <c r="B603" s="7" t="str">
        <f t="shared" si="32"/>
        <v>2021017</v>
      </c>
      <c r="C603" s="7" t="str">
        <f t="shared" ref="C603:C632" si="34">"021"</f>
        <v>021</v>
      </c>
      <c r="D603" s="7" t="str">
        <f>"01"</f>
        <v>01</v>
      </c>
      <c r="E603" s="8">
        <v>70.8</v>
      </c>
      <c r="F603" s="7" t="s">
        <v>7</v>
      </c>
    </row>
    <row r="604" s="2" customFormat="1" ht="14.1" customHeight="1" spans="1:6">
      <c r="A604" s="7" t="str">
        <f>"2101702102"</f>
        <v>2101702102</v>
      </c>
      <c r="B604" s="7" t="str">
        <f t="shared" si="32"/>
        <v>2021017</v>
      </c>
      <c r="C604" s="7" t="str">
        <f t="shared" si="34"/>
        <v>021</v>
      </c>
      <c r="D604" s="7" t="str">
        <f>"02"</f>
        <v>02</v>
      </c>
      <c r="E604" s="8">
        <v>0</v>
      </c>
      <c r="F604" s="7" t="s">
        <v>8</v>
      </c>
    </row>
    <row r="605" s="2" customFormat="1" ht="14.1" customHeight="1" spans="1:6">
      <c r="A605" s="7" t="str">
        <f>"2101702103"</f>
        <v>2101702103</v>
      </c>
      <c r="B605" s="7" t="str">
        <f t="shared" si="32"/>
        <v>2021017</v>
      </c>
      <c r="C605" s="7" t="str">
        <f t="shared" si="34"/>
        <v>021</v>
      </c>
      <c r="D605" s="7" t="str">
        <f>"03"</f>
        <v>03</v>
      </c>
      <c r="E605" s="8">
        <v>0</v>
      </c>
      <c r="F605" s="7" t="s">
        <v>8</v>
      </c>
    </row>
    <row r="606" s="2" customFormat="1" ht="14.1" customHeight="1" spans="1:6">
      <c r="A606" s="7" t="str">
        <f>"2101702104"</f>
        <v>2101702104</v>
      </c>
      <c r="B606" s="7" t="str">
        <f t="shared" si="32"/>
        <v>2021017</v>
      </c>
      <c r="C606" s="7" t="str">
        <f t="shared" si="34"/>
        <v>021</v>
      </c>
      <c r="D606" s="7" t="str">
        <f>"04"</f>
        <v>04</v>
      </c>
      <c r="E606" s="8">
        <v>60.7</v>
      </c>
      <c r="F606" s="7" t="s">
        <v>7</v>
      </c>
    </row>
    <row r="607" s="2" customFormat="1" ht="14.1" customHeight="1" spans="1:6">
      <c r="A607" s="7" t="str">
        <f>"2101702105"</f>
        <v>2101702105</v>
      </c>
      <c r="B607" s="7" t="str">
        <f t="shared" si="32"/>
        <v>2021017</v>
      </c>
      <c r="C607" s="7" t="str">
        <f t="shared" si="34"/>
        <v>021</v>
      </c>
      <c r="D607" s="7" t="str">
        <f>"05"</f>
        <v>05</v>
      </c>
      <c r="E607" s="8">
        <v>0</v>
      </c>
      <c r="F607" s="7" t="s">
        <v>8</v>
      </c>
    </row>
    <row r="608" s="2" customFormat="1" ht="14.1" customHeight="1" spans="1:6">
      <c r="A608" s="7" t="str">
        <f>"2101702106"</f>
        <v>2101702106</v>
      </c>
      <c r="B608" s="7" t="str">
        <f t="shared" si="32"/>
        <v>2021017</v>
      </c>
      <c r="C608" s="7" t="str">
        <f t="shared" si="34"/>
        <v>021</v>
      </c>
      <c r="D608" s="7" t="str">
        <f>"06"</f>
        <v>06</v>
      </c>
      <c r="E608" s="8">
        <v>59.4</v>
      </c>
      <c r="F608" s="7" t="s">
        <v>7</v>
      </c>
    </row>
    <row r="609" s="2" customFormat="1" ht="14.1" customHeight="1" spans="1:6">
      <c r="A609" s="7" t="str">
        <f>"2101702107"</f>
        <v>2101702107</v>
      </c>
      <c r="B609" s="7" t="str">
        <f t="shared" si="32"/>
        <v>2021017</v>
      </c>
      <c r="C609" s="7" t="str">
        <f t="shared" si="34"/>
        <v>021</v>
      </c>
      <c r="D609" s="7" t="str">
        <f>"07"</f>
        <v>07</v>
      </c>
      <c r="E609" s="8">
        <v>0</v>
      </c>
      <c r="F609" s="7" t="s">
        <v>8</v>
      </c>
    </row>
    <row r="610" s="2" customFormat="1" ht="14.1" customHeight="1" spans="1:6">
      <c r="A610" s="7" t="str">
        <f>"2101702108"</f>
        <v>2101702108</v>
      </c>
      <c r="B610" s="7" t="str">
        <f t="shared" si="32"/>
        <v>2021017</v>
      </c>
      <c r="C610" s="7" t="str">
        <f t="shared" si="34"/>
        <v>021</v>
      </c>
      <c r="D610" s="7" t="str">
        <f>"08"</f>
        <v>08</v>
      </c>
      <c r="E610" s="8">
        <v>0</v>
      </c>
      <c r="F610" s="7" t="s">
        <v>8</v>
      </c>
    </row>
    <row r="611" s="2" customFormat="1" ht="14.1" customHeight="1" spans="1:6">
      <c r="A611" s="7" t="str">
        <f>"2101702109"</f>
        <v>2101702109</v>
      </c>
      <c r="B611" s="7" t="str">
        <f t="shared" si="32"/>
        <v>2021017</v>
      </c>
      <c r="C611" s="7" t="str">
        <f t="shared" si="34"/>
        <v>021</v>
      </c>
      <c r="D611" s="7" t="str">
        <f>"09"</f>
        <v>09</v>
      </c>
      <c r="E611" s="8">
        <v>63.7</v>
      </c>
      <c r="F611" s="7" t="s">
        <v>7</v>
      </c>
    </row>
    <row r="612" s="2" customFormat="1" ht="14.1" customHeight="1" spans="1:6">
      <c r="A612" s="7" t="str">
        <f>"2101702110"</f>
        <v>2101702110</v>
      </c>
      <c r="B612" s="7" t="str">
        <f t="shared" si="32"/>
        <v>2021017</v>
      </c>
      <c r="C612" s="7" t="str">
        <f t="shared" si="34"/>
        <v>021</v>
      </c>
      <c r="D612" s="7" t="str">
        <f>"10"</f>
        <v>10</v>
      </c>
      <c r="E612" s="8">
        <v>0</v>
      </c>
      <c r="F612" s="7" t="s">
        <v>8</v>
      </c>
    </row>
    <row r="613" s="2" customFormat="1" ht="14.1" customHeight="1" spans="1:6">
      <c r="A613" s="7" t="str">
        <f>"2101702111"</f>
        <v>2101702111</v>
      </c>
      <c r="B613" s="7" t="str">
        <f t="shared" si="32"/>
        <v>2021017</v>
      </c>
      <c r="C613" s="7" t="str">
        <f t="shared" si="34"/>
        <v>021</v>
      </c>
      <c r="D613" s="7" t="str">
        <f>"11"</f>
        <v>11</v>
      </c>
      <c r="E613" s="8">
        <v>57</v>
      </c>
      <c r="F613" s="7" t="s">
        <v>7</v>
      </c>
    </row>
    <row r="614" s="2" customFormat="1" ht="14.1" customHeight="1" spans="1:6">
      <c r="A614" s="7" t="str">
        <f>"2101702112"</f>
        <v>2101702112</v>
      </c>
      <c r="B614" s="7" t="str">
        <f t="shared" si="32"/>
        <v>2021017</v>
      </c>
      <c r="C614" s="7" t="str">
        <f t="shared" si="34"/>
        <v>021</v>
      </c>
      <c r="D614" s="7" t="str">
        <f>"12"</f>
        <v>12</v>
      </c>
      <c r="E614" s="8">
        <v>55.8</v>
      </c>
      <c r="F614" s="7" t="s">
        <v>7</v>
      </c>
    </row>
    <row r="615" s="2" customFormat="1" ht="14.1" customHeight="1" spans="1:6">
      <c r="A615" s="7" t="str">
        <f>"2101702113"</f>
        <v>2101702113</v>
      </c>
      <c r="B615" s="7" t="str">
        <f t="shared" si="32"/>
        <v>2021017</v>
      </c>
      <c r="C615" s="7" t="str">
        <f t="shared" si="34"/>
        <v>021</v>
      </c>
      <c r="D615" s="7" t="str">
        <f>"13"</f>
        <v>13</v>
      </c>
      <c r="E615" s="8">
        <v>0</v>
      </c>
      <c r="F615" s="7" t="s">
        <v>8</v>
      </c>
    </row>
    <row r="616" s="2" customFormat="1" ht="14.1" customHeight="1" spans="1:6">
      <c r="A616" s="7" t="str">
        <f>"2101702114"</f>
        <v>2101702114</v>
      </c>
      <c r="B616" s="7" t="str">
        <f t="shared" si="32"/>
        <v>2021017</v>
      </c>
      <c r="C616" s="7" t="str">
        <f t="shared" si="34"/>
        <v>021</v>
      </c>
      <c r="D616" s="7" t="str">
        <f>"14"</f>
        <v>14</v>
      </c>
      <c r="E616" s="8">
        <v>63.4</v>
      </c>
      <c r="F616" s="7" t="s">
        <v>7</v>
      </c>
    </row>
    <row r="617" s="2" customFormat="1" ht="14.1" customHeight="1" spans="1:6">
      <c r="A617" s="7" t="str">
        <f>"2101702115"</f>
        <v>2101702115</v>
      </c>
      <c r="B617" s="7" t="str">
        <f t="shared" si="32"/>
        <v>2021017</v>
      </c>
      <c r="C617" s="7" t="str">
        <f t="shared" si="34"/>
        <v>021</v>
      </c>
      <c r="D617" s="7" t="str">
        <f>"15"</f>
        <v>15</v>
      </c>
      <c r="E617" s="8">
        <v>53.7</v>
      </c>
      <c r="F617" s="7" t="s">
        <v>7</v>
      </c>
    </row>
    <row r="618" s="2" customFormat="1" ht="14.1" customHeight="1" spans="1:6">
      <c r="A618" s="7" t="str">
        <f>"2101702116"</f>
        <v>2101702116</v>
      </c>
      <c r="B618" s="7" t="str">
        <f t="shared" si="32"/>
        <v>2021017</v>
      </c>
      <c r="C618" s="7" t="str">
        <f t="shared" si="34"/>
        <v>021</v>
      </c>
      <c r="D618" s="7" t="str">
        <f>"16"</f>
        <v>16</v>
      </c>
      <c r="E618" s="8">
        <v>0</v>
      </c>
      <c r="F618" s="7" t="s">
        <v>8</v>
      </c>
    </row>
    <row r="619" s="2" customFormat="1" ht="14.1" customHeight="1" spans="1:6">
      <c r="A619" s="7" t="str">
        <f>"2101702117"</f>
        <v>2101702117</v>
      </c>
      <c r="B619" s="7" t="str">
        <f t="shared" si="32"/>
        <v>2021017</v>
      </c>
      <c r="C619" s="7" t="str">
        <f t="shared" si="34"/>
        <v>021</v>
      </c>
      <c r="D619" s="7" t="str">
        <f>"17"</f>
        <v>17</v>
      </c>
      <c r="E619" s="8">
        <v>57</v>
      </c>
      <c r="F619" s="7" t="s">
        <v>7</v>
      </c>
    </row>
    <row r="620" s="2" customFormat="1" ht="14.1" customHeight="1" spans="1:6">
      <c r="A620" s="7" t="str">
        <f>"2101702118"</f>
        <v>2101702118</v>
      </c>
      <c r="B620" s="7" t="str">
        <f t="shared" si="32"/>
        <v>2021017</v>
      </c>
      <c r="C620" s="7" t="str">
        <f t="shared" si="34"/>
        <v>021</v>
      </c>
      <c r="D620" s="7" t="str">
        <f>"18"</f>
        <v>18</v>
      </c>
      <c r="E620" s="8">
        <v>0</v>
      </c>
      <c r="F620" s="7" t="s">
        <v>8</v>
      </c>
    </row>
    <row r="621" s="2" customFormat="1" ht="14.1" customHeight="1" spans="1:6">
      <c r="A621" s="7" t="str">
        <f>"2101702119"</f>
        <v>2101702119</v>
      </c>
      <c r="B621" s="7" t="str">
        <f t="shared" si="32"/>
        <v>2021017</v>
      </c>
      <c r="C621" s="7" t="str">
        <f t="shared" si="34"/>
        <v>021</v>
      </c>
      <c r="D621" s="7" t="str">
        <f>"19"</f>
        <v>19</v>
      </c>
      <c r="E621" s="8">
        <v>54.4</v>
      </c>
      <c r="F621" s="7" t="s">
        <v>7</v>
      </c>
    </row>
    <row r="622" s="2" customFormat="1" ht="14.1" customHeight="1" spans="1:6">
      <c r="A622" s="7" t="str">
        <f>"2101702120"</f>
        <v>2101702120</v>
      </c>
      <c r="B622" s="7" t="str">
        <f t="shared" si="32"/>
        <v>2021017</v>
      </c>
      <c r="C622" s="7" t="str">
        <f t="shared" si="34"/>
        <v>021</v>
      </c>
      <c r="D622" s="7" t="str">
        <f>"20"</f>
        <v>20</v>
      </c>
      <c r="E622" s="8">
        <v>0</v>
      </c>
      <c r="F622" s="7" t="s">
        <v>8</v>
      </c>
    </row>
    <row r="623" s="2" customFormat="1" ht="14.1" customHeight="1" spans="1:6">
      <c r="A623" s="7" t="str">
        <f>"2101702121"</f>
        <v>2101702121</v>
      </c>
      <c r="B623" s="7" t="str">
        <f t="shared" si="32"/>
        <v>2021017</v>
      </c>
      <c r="C623" s="7" t="str">
        <f t="shared" si="34"/>
        <v>021</v>
      </c>
      <c r="D623" s="7" t="str">
        <f>"21"</f>
        <v>21</v>
      </c>
      <c r="E623" s="8">
        <v>65.3</v>
      </c>
      <c r="F623" s="7" t="s">
        <v>7</v>
      </c>
    </row>
    <row r="624" s="2" customFormat="1" ht="14.1" customHeight="1" spans="1:6">
      <c r="A624" s="7" t="str">
        <f>"2101702122"</f>
        <v>2101702122</v>
      </c>
      <c r="B624" s="7" t="str">
        <f t="shared" ref="B624:B687" si="35">"2021017"</f>
        <v>2021017</v>
      </c>
      <c r="C624" s="7" t="str">
        <f t="shared" si="34"/>
        <v>021</v>
      </c>
      <c r="D624" s="7" t="str">
        <f>"22"</f>
        <v>22</v>
      </c>
      <c r="E624" s="8">
        <v>58.5</v>
      </c>
      <c r="F624" s="7" t="s">
        <v>7</v>
      </c>
    </row>
    <row r="625" s="2" customFormat="1" ht="14.1" customHeight="1" spans="1:6">
      <c r="A625" s="7" t="str">
        <f>"2101702123"</f>
        <v>2101702123</v>
      </c>
      <c r="B625" s="7" t="str">
        <f t="shared" si="35"/>
        <v>2021017</v>
      </c>
      <c r="C625" s="7" t="str">
        <f t="shared" si="34"/>
        <v>021</v>
      </c>
      <c r="D625" s="7" t="str">
        <f>"23"</f>
        <v>23</v>
      </c>
      <c r="E625" s="8">
        <v>52.6</v>
      </c>
      <c r="F625" s="7" t="s">
        <v>7</v>
      </c>
    </row>
    <row r="626" s="2" customFormat="1" ht="14.1" customHeight="1" spans="1:6">
      <c r="A626" s="7" t="str">
        <f>"2101702124"</f>
        <v>2101702124</v>
      </c>
      <c r="B626" s="7" t="str">
        <f t="shared" si="35"/>
        <v>2021017</v>
      </c>
      <c r="C626" s="7" t="str">
        <f t="shared" si="34"/>
        <v>021</v>
      </c>
      <c r="D626" s="7" t="str">
        <f>"24"</f>
        <v>24</v>
      </c>
      <c r="E626" s="8">
        <v>61.7</v>
      </c>
      <c r="F626" s="7" t="s">
        <v>7</v>
      </c>
    </row>
    <row r="627" s="2" customFormat="1" ht="14.1" customHeight="1" spans="1:6">
      <c r="A627" s="7" t="str">
        <f>"2101702125"</f>
        <v>2101702125</v>
      </c>
      <c r="B627" s="7" t="str">
        <f t="shared" si="35"/>
        <v>2021017</v>
      </c>
      <c r="C627" s="7" t="str">
        <f t="shared" si="34"/>
        <v>021</v>
      </c>
      <c r="D627" s="7" t="str">
        <f>"25"</f>
        <v>25</v>
      </c>
      <c r="E627" s="8">
        <v>0</v>
      </c>
      <c r="F627" s="7" t="s">
        <v>8</v>
      </c>
    </row>
    <row r="628" s="2" customFormat="1" ht="14.1" customHeight="1" spans="1:6">
      <c r="A628" s="7" t="str">
        <f>"2101702126"</f>
        <v>2101702126</v>
      </c>
      <c r="B628" s="7" t="str">
        <f t="shared" si="35"/>
        <v>2021017</v>
      </c>
      <c r="C628" s="7" t="str">
        <f t="shared" si="34"/>
        <v>021</v>
      </c>
      <c r="D628" s="7" t="str">
        <f>"26"</f>
        <v>26</v>
      </c>
      <c r="E628" s="8">
        <v>0</v>
      </c>
      <c r="F628" s="7" t="s">
        <v>8</v>
      </c>
    </row>
    <row r="629" s="2" customFormat="1" ht="14.1" customHeight="1" spans="1:6">
      <c r="A629" s="7" t="str">
        <f>"2101702127"</f>
        <v>2101702127</v>
      </c>
      <c r="B629" s="7" t="str">
        <f t="shared" si="35"/>
        <v>2021017</v>
      </c>
      <c r="C629" s="7" t="str">
        <f t="shared" si="34"/>
        <v>021</v>
      </c>
      <c r="D629" s="7" t="str">
        <f>"27"</f>
        <v>27</v>
      </c>
      <c r="E629" s="8">
        <v>65</v>
      </c>
      <c r="F629" s="7" t="s">
        <v>7</v>
      </c>
    </row>
    <row r="630" s="2" customFormat="1" ht="14.1" customHeight="1" spans="1:6">
      <c r="A630" s="7" t="str">
        <f>"2101702128"</f>
        <v>2101702128</v>
      </c>
      <c r="B630" s="7" t="str">
        <f t="shared" si="35"/>
        <v>2021017</v>
      </c>
      <c r="C630" s="7" t="str">
        <f t="shared" si="34"/>
        <v>021</v>
      </c>
      <c r="D630" s="7" t="str">
        <f>"28"</f>
        <v>28</v>
      </c>
      <c r="E630" s="8">
        <v>62.9</v>
      </c>
      <c r="F630" s="7" t="s">
        <v>7</v>
      </c>
    </row>
    <row r="631" s="2" customFormat="1" ht="14.1" customHeight="1" spans="1:6">
      <c r="A631" s="7" t="str">
        <f>"2101702129"</f>
        <v>2101702129</v>
      </c>
      <c r="B631" s="7" t="str">
        <f t="shared" si="35"/>
        <v>2021017</v>
      </c>
      <c r="C631" s="7" t="str">
        <f t="shared" si="34"/>
        <v>021</v>
      </c>
      <c r="D631" s="7" t="str">
        <f>"29"</f>
        <v>29</v>
      </c>
      <c r="E631" s="8">
        <v>70.9</v>
      </c>
      <c r="F631" s="7" t="s">
        <v>7</v>
      </c>
    </row>
    <row r="632" s="2" customFormat="1" ht="14.1" customHeight="1" spans="1:6">
      <c r="A632" s="7" t="str">
        <f>"2101702130"</f>
        <v>2101702130</v>
      </c>
      <c r="B632" s="7" t="str">
        <f t="shared" si="35"/>
        <v>2021017</v>
      </c>
      <c r="C632" s="7" t="str">
        <f t="shared" si="34"/>
        <v>021</v>
      </c>
      <c r="D632" s="7" t="str">
        <f>"30"</f>
        <v>30</v>
      </c>
      <c r="E632" s="8">
        <v>0</v>
      </c>
      <c r="F632" s="7" t="s">
        <v>8</v>
      </c>
    </row>
    <row r="633" s="2" customFormat="1" ht="14.1" customHeight="1" spans="1:6">
      <c r="A633" s="7" t="str">
        <f>"2101702201"</f>
        <v>2101702201</v>
      </c>
      <c r="B633" s="7" t="str">
        <f t="shared" si="35"/>
        <v>2021017</v>
      </c>
      <c r="C633" s="7" t="str">
        <f t="shared" ref="C633:C662" si="36">"022"</f>
        <v>022</v>
      </c>
      <c r="D633" s="7" t="str">
        <f>"01"</f>
        <v>01</v>
      </c>
      <c r="E633" s="8">
        <v>0</v>
      </c>
      <c r="F633" s="7" t="s">
        <v>8</v>
      </c>
    </row>
    <row r="634" s="2" customFormat="1" ht="14.1" customHeight="1" spans="1:6">
      <c r="A634" s="7" t="str">
        <f>"2101702202"</f>
        <v>2101702202</v>
      </c>
      <c r="B634" s="7" t="str">
        <f t="shared" si="35"/>
        <v>2021017</v>
      </c>
      <c r="C634" s="7" t="str">
        <f t="shared" si="36"/>
        <v>022</v>
      </c>
      <c r="D634" s="7" t="str">
        <f>"02"</f>
        <v>02</v>
      </c>
      <c r="E634" s="8">
        <v>0</v>
      </c>
      <c r="F634" s="7" t="s">
        <v>8</v>
      </c>
    </row>
    <row r="635" s="2" customFormat="1" ht="14.1" customHeight="1" spans="1:6">
      <c r="A635" s="7" t="str">
        <f>"2101702203"</f>
        <v>2101702203</v>
      </c>
      <c r="B635" s="7" t="str">
        <f t="shared" si="35"/>
        <v>2021017</v>
      </c>
      <c r="C635" s="7" t="str">
        <f t="shared" si="36"/>
        <v>022</v>
      </c>
      <c r="D635" s="7" t="str">
        <f>"03"</f>
        <v>03</v>
      </c>
      <c r="E635" s="8">
        <v>60.8</v>
      </c>
      <c r="F635" s="7" t="s">
        <v>7</v>
      </c>
    </row>
    <row r="636" s="2" customFormat="1" ht="14.1" customHeight="1" spans="1:6">
      <c r="A636" s="7" t="str">
        <f>"2101702204"</f>
        <v>2101702204</v>
      </c>
      <c r="B636" s="7" t="str">
        <f t="shared" si="35"/>
        <v>2021017</v>
      </c>
      <c r="C636" s="7" t="str">
        <f t="shared" si="36"/>
        <v>022</v>
      </c>
      <c r="D636" s="7" t="str">
        <f>"04"</f>
        <v>04</v>
      </c>
      <c r="E636" s="8">
        <v>72.3</v>
      </c>
      <c r="F636" s="7" t="s">
        <v>7</v>
      </c>
    </row>
    <row r="637" s="2" customFormat="1" ht="14.1" customHeight="1" spans="1:6">
      <c r="A637" s="7" t="str">
        <f>"2101702205"</f>
        <v>2101702205</v>
      </c>
      <c r="B637" s="7" t="str">
        <f t="shared" si="35"/>
        <v>2021017</v>
      </c>
      <c r="C637" s="7" t="str">
        <f t="shared" si="36"/>
        <v>022</v>
      </c>
      <c r="D637" s="7" t="str">
        <f>"05"</f>
        <v>05</v>
      </c>
      <c r="E637" s="8">
        <v>63.5</v>
      </c>
      <c r="F637" s="7" t="s">
        <v>7</v>
      </c>
    </row>
    <row r="638" s="2" customFormat="1" ht="14.1" customHeight="1" spans="1:6">
      <c r="A638" s="7" t="str">
        <f>"2101702206"</f>
        <v>2101702206</v>
      </c>
      <c r="B638" s="7" t="str">
        <f t="shared" si="35"/>
        <v>2021017</v>
      </c>
      <c r="C638" s="7" t="str">
        <f t="shared" si="36"/>
        <v>022</v>
      </c>
      <c r="D638" s="7" t="str">
        <f>"06"</f>
        <v>06</v>
      </c>
      <c r="E638" s="8">
        <v>75.5</v>
      </c>
      <c r="F638" s="7" t="s">
        <v>7</v>
      </c>
    </row>
    <row r="639" s="2" customFormat="1" ht="14.1" customHeight="1" spans="1:6">
      <c r="A639" s="7" t="str">
        <f>"2101702207"</f>
        <v>2101702207</v>
      </c>
      <c r="B639" s="7" t="str">
        <f t="shared" si="35"/>
        <v>2021017</v>
      </c>
      <c r="C639" s="7" t="str">
        <f t="shared" si="36"/>
        <v>022</v>
      </c>
      <c r="D639" s="7" t="str">
        <f>"07"</f>
        <v>07</v>
      </c>
      <c r="E639" s="8">
        <v>67.8</v>
      </c>
      <c r="F639" s="7" t="s">
        <v>7</v>
      </c>
    </row>
    <row r="640" s="2" customFormat="1" ht="14.1" customHeight="1" spans="1:6">
      <c r="A640" s="7" t="str">
        <f>"2101702208"</f>
        <v>2101702208</v>
      </c>
      <c r="B640" s="7" t="str">
        <f t="shared" si="35"/>
        <v>2021017</v>
      </c>
      <c r="C640" s="7" t="str">
        <f t="shared" si="36"/>
        <v>022</v>
      </c>
      <c r="D640" s="7" t="str">
        <f>"08"</f>
        <v>08</v>
      </c>
      <c r="E640" s="8">
        <v>0</v>
      </c>
      <c r="F640" s="7" t="s">
        <v>8</v>
      </c>
    </row>
    <row r="641" s="2" customFormat="1" ht="14.1" customHeight="1" spans="1:6">
      <c r="A641" s="7" t="str">
        <f>"2101702209"</f>
        <v>2101702209</v>
      </c>
      <c r="B641" s="7" t="str">
        <f t="shared" si="35"/>
        <v>2021017</v>
      </c>
      <c r="C641" s="7" t="str">
        <f t="shared" si="36"/>
        <v>022</v>
      </c>
      <c r="D641" s="7" t="str">
        <f>"09"</f>
        <v>09</v>
      </c>
      <c r="E641" s="8">
        <v>0</v>
      </c>
      <c r="F641" s="7" t="s">
        <v>8</v>
      </c>
    </row>
    <row r="642" s="2" customFormat="1" ht="14.1" customHeight="1" spans="1:6">
      <c r="A642" s="7" t="str">
        <f>"2101702210"</f>
        <v>2101702210</v>
      </c>
      <c r="B642" s="7" t="str">
        <f t="shared" si="35"/>
        <v>2021017</v>
      </c>
      <c r="C642" s="7" t="str">
        <f t="shared" si="36"/>
        <v>022</v>
      </c>
      <c r="D642" s="7" t="str">
        <f>"10"</f>
        <v>10</v>
      </c>
      <c r="E642" s="8">
        <v>0</v>
      </c>
      <c r="F642" s="7" t="s">
        <v>8</v>
      </c>
    </row>
    <row r="643" s="2" customFormat="1" ht="14.1" customHeight="1" spans="1:6">
      <c r="A643" s="7" t="str">
        <f>"2101702211"</f>
        <v>2101702211</v>
      </c>
      <c r="B643" s="7" t="str">
        <f t="shared" si="35"/>
        <v>2021017</v>
      </c>
      <c r="C643" s="7" t="str">
        <f t="shared" si="36"/>
        <v>022</v>
      </c>
      <c r="D643" s="7" t="str">
        <f>"11"</f>
        <v>11</v>
      </c>
      <c r="E643" s="8">
        <v>0</v>
      </c>
      <c r="F643" s="7" t="s">
        <v>8</v>
      </c>
    </row>
    <row r="644" s="2" customFormat="1" ht="14.1" customHeight="1" spans="1:6">
      <c r="A644" s="7" t="str">
        <f>"2101702212"</f>
        <v>2101702212</v>
      </c>
      <c r="B644" s="7" t="str">
        <f t="shared" si="35"/>
        <v>2021017</v>
      </c>
      <c r="C644" s="7" t="str">
        <f t="shared" si="36"/>
        <v>022</v>
      </c>
      <c r="D644" s="7" t="str">
        <f>"12"</f>
        <v>12</v>
      </c>
      <c r="E644" s="8">
        <v>69.3</v>
      </c>
      <c r="F644" s="7" t="s">
        <v>7</v>
      </c>
    </row>
    <row r="645" s="2" customFormat="1" ht="14.1" customHeight="1" spans="1:6">
      <c r="A645" s="7" t="str">
        <f>"2101702213"</f>
        <v>2101702213</v>
      </c>
      <c r="B645" s="7" t="str">
        <f t="shared" si="35"/>
        <v>2021017</v>
      </c>
      <c r="C645" s="7" t="str">
        <f t="shared" si="36"/>
        <v>022</v>
      </c>
      <c r="D645" s="7" t="str">
        <f>"13"</f>
        <v>13</v>
      </c>
      <c r="E645" s="8">
        <v>0</v>
      </c>
      <c r="F645" s="7" t="s">
        <v>8</v>
      </c>
    </row>
    <row r="646" s="2" customFormat="1" ht="14.1" customHeight="1" spans="1:6">
      <c r="A646" s="7" t="str">
        <f>"2101702214"</f>
        <v>2101702214</v>
      </c>
      <c r="B646" s="7" t="str">
        <f t="shared" si="35"/>
        <v>2021017</v>
      </c>
      <c r="C646" s="7" t="str">
        <f t="shared" si="36"/>
        <v>022</v>
      </c>
      <c r="D646" s="7" t="str">
        <f>"14"</f>
        <v>14</v>
      </c>
      <c r="E646" s="8">
        <v>59.5</v>
      </c>
      <c r="F646" s="7" t="s">
        <v>7</v>
      </c>
    </row>
    <row r="647" s="2" customFormat="1" ht="14.1" customHeight="1" spans="1:6">
      <c r="A647" s="7" t="str">
        <f>"2101702215"</f>
        <v>2101702215</v>
      </c>
      <c r="B647" s="7" t="str">
        <f t="shared" si="35"/>
        <v>2021017</v>
      </c>
      <c r="C647" s="7" t="str">
        <f t="shared" si="36"/>
        <v>022</v>
      </c>
      <c r="D647" s="7" t="str">
        <f>"15"</f>
        <v>15</v>
      </c>
      <c r="E647" s="8">
        <v>61.2</v>
      </c>
      <c r="F647" s="7" t="s">
        <v>7</v>
      </c>
    </row>
    <row r="648" s="2" customFormat="1" ht="14.1" customHeight="1" spans="1:6">
      <c r="A648" s="7" t="str">
        <f>"2101702216"</f>
        <v>2101702216</v>
      </c>
      <c r="B648" s="7" t="str">
        <f t="shared" si="35"/>
        <v>2021017</v>
      </c>
      <c r="C648" s="7" t="str">
        <f t="shared" si="36"/>
        <v>022</v>
      </c>
      <c r="D648" s="7" t="str">
        <f>"16"</f>
        <v>16</v>
      </c>
      <c r="E648" s="8">
        <v>65.8</v>
      </c>
      <c r="F648" s="7" t="s">
        <v>7</v>
      </c>
    </row>
    <row r="649" s="2" customFormat="1" ht="14.1" customHeight="1" spans="1:6">
      <c r="A649" s="7" t="str">
        <f>"2101702217"</f>
        <v>2101702217</v>
      </c>
      <c r="B649" s="7" t="str">
        <f t="shared" si="35"/>
        <v>2021017</v>
      </c>
      <c r="C649" s="7" t="str">
        <f t="shared" si="36"/>
        <v>022</v>
      </c>
      <c r="D649" s="7" t="str">
        <f>"17"</f>
        <v>17</v>
      </c>
      <c r="E649" s="8">
        <v>0</v>
      </c>
      <c r="F649" s="7" t="s">
        <v>8</v>
      </c>
    </row>
    <row r="650" s="2" customFormat="1" ht="14.1" customHeight="1" spans="1:6">
      <c r="A650" s="7" t="str">
        <f>"2101702218"</f>
        <v>2101702218</v>
      </c>
      <c r="B650" s="7" t="str">
        <f t="shared" si="35"/>
        <v>2021017</v>
      </c>
      <c r="C650" s="7" t="str">
        <f t="shared" si="36"/>
        <v>022</v>
      </c>
      <c r="D650" s="7" t="str">
        <f>"18"</f>
        <v>18</v>
      </c>
      <c r="E650" s="8">
        <v>0</v>
      </c>
      <c r="F650" s="7" t="s">
        <v>8</v>
      </c>
    </row>
    <row r="651" s="2" customFormat="1" ht="14.1" customHeight="1" spans="1:6">
      <c r="A651" s="7" t="str">
        <f>"2101702219"</f>
        <v>2101702219</v>
      </c>
      <c r="B651" s="7" t="str">
        <f t="shared" si="35"/>
        <v>2021017</v>
      </c>
      <c r="C651" s="7" t="str">
        <f t="shared" si="36"/>
        <v>022</v>
      </c>
      <c r="D651" s="7" t="str">
        <f>"19"</f>
        <v>19</v>
      </c>
      <c r="E651" s="8">
        <v>0</v>
      </c>
      <c r="F651" s="7" t="s">
        <v>8</v>
      </c>
    </row>
    <row r="652" s="2" customFormat="1" ht="14.1" customHeight="1" spans="1:6">
      <c r="A652" s="7" t="str">
        <f>"2101702220"</f>
        <v>2101702220</v>
      </c>
      <c r="B652" s="7" t="str">
        <f t="shared" si="35"/>
        <v>2021017</v>
      </c>
      <c r="C652" s="7" t="str">
        <f t="shared" si="36"/>
        <v>022</v>
      </c>
      <c r="D652" s="7" t="str">
        <f>"20"</f>
        <v>20</v>
      </c>
      <c r="E652" s="8">
        <v>71.2</v>
      </c>
      <c r="F652" s="7" t="s">
        <v>7</v>
      </c>
    </row>
    <row r="653" s="2" customFormat="1" ht="14.1" customHeight="1" spans="1:6">
      <c r="A653" s="7" t="str">
        <f>"2101702221"</f>
        <v>2101702221</v>
      </c>
      <c r="B653" s="7" t="str">
        <f t="shared" si="35"/>
        <v>2021017</v>
      </c>
      <c r="C653" s="7" t="str">
        <f t="shared" si="36"/>
        <v>022</v>
      </c>
      <c r="D653" s="7" t="str">
        <f>"21"</f>
        <v>21</v>
      </c>
      <c r="E653" s="8">
        <v>63.5</v>
      </c>
      <c r="F653" s="7" t="s">
        <v>7</v>
      </c>
    </row>
    <row r="654" s="2" customFormat="1" ht="14.1" customHeight="1" spans="1:6">
      <c r="A654" s="7" t="str">
        <f>"2101702222"</f>
        <v>2101702222</v>
      </c>
      <c r="B654" s="7" t="str">
        <f t="shared" si="35"/>
        <v>2021017</v>
      </c>
      <c r="C654" s="7" t="str">
        <f t="shared" si="36"/>
        <v>022</v>
      </c>
      <c r="D654" s="7" t="str">
        <f>"22"</f>
        <v>22</v>
      </c>
      <c r="E654" s="8">
        <v>64.2</v>
      </c>
      <c r="F654" s="7" t="s">
        <v>7</v>
      </c>
    </row>
    <row r="655" s="2" customFormat="1" ht="14.1" customHeight="1" spans="1:6">
      <c r="A655" s="7" t="str">
        <f>"2101702223"</f>
        <v>2101702223</v>
      </c>
      <c r="B655" s="7" t="str">
        <f t="shared" si="35"/>
        <v>2021017</v>
      </c>
      <c r="C655" s="7" t="str">
        <f t="shared" si="36"/>
        <v>022</v>
      </c>
      <c r="D655" s="7" t="str">
        <f>"23"</f>
        <v>23</v>
      </c>
      <c r="E655" s="8">
        <v>0</v>
      </c>
      <c r="F655" s="7" t="s">
        <v>8</v>
      </c>
    </row>
    <row r="656" s="2" customFormat="1" ht="14.1" customHeight="1" spans="1:6">
      <c r="A656" s="7" t="str">
        <f>"2101702224"</f>
        <v>2101702224</v>
      </c>
      <c r="B656" s="7" t="str">
        <f t="shared" si="35"/>
        <v>2021017</v>
      </c>
      <c r="C656" s="7" t="str">
        <f t="shared" si="36"/>
        <v>022</v>
      </c>
      <c r="D656" s="7" t="str">
        <f>"24"</f>
        <v>24</v>
      </c>
      <c r="E656" s="8">
        <v>65.4</v>
      </c>
      <c r="F656" s="7" t="s">
        <v>7</v>
      </c>
    </row>
    <row r="657" s="2" customFormat="1" ht="14.1" customHeight="1" spans="1:6">
      <c r="A657" s="7" t="str">
        <f>"2101702225"</f>
        <v>2101702225</v>
      </c>
      <c r="B657" s="7" t="str">
        <f t="shared" si="35"/>
        <v>2021017</v>
      </c>
      <c r="C657" s="7" t="str">
        <f t="shared" si="36"/>
        <v>022</v>
      </c>
      <c r="D657" s="7" t="str">
        <f>"25"</f>
        <v>25</v>
      </c>
      <c r="E657" s="8">
        <v>0</v>
      </c>
      <c r="F657" s="7" t="s">
        <v>8</v>
      </c>
    </row>
    <row r="658" s="2" customFormat="1" ht="14.1" customHeight="1" spans="1:6">
      <c r="A658" s="7" t="str">
        <f>"2101702226"</f>
        <v>2101702226</v>
      </c>
      <c r="B658" s="7" t="str">
        <f t="shared" si="35"/>
        <v>2021017</v>
      </c>
      <c r="C658" s="7" t="str">
        <f t="shared" si="36"/>
        <v>022</v>
      </c>
      <c r="D658" s="7" t="str">
        <f>"26"</f>
        <v>26</v>
      </c>
      <c r="E658" s="8">
        <v>67.3</v>
      </c>
      <c r="F658" s="7" t="s">
        <v>7</v>
      </c>
    </row>
    <row r="659" s="2" customFormat="1" ht="14.1" customHeight="1" spans="1:6">
      <c r="A659" s="7" t="str">
        <f>"2101702227"</f>
        <v>2101702227</v>
      </c>
      <c r="B659" s="7" t="str">
        <f t="shared" si="35"/>
        <v>2021017</v>
      </c>
      <c r="C659" s="7" t="str">
        <f t="shared" si="36"/>
        <v>022</v>
      </c>
      <c r="D659" s="7" t="str">
        <f>"27"</f>
        <v>27</v>
      </c>
      <c r="E659" s="8">
        <v>0</v>
      </c>
      <c r="F659" s="7" t="s">
        <v>8</v>
      </c>
    </row>
    <row r="660" s="2" customFormat="1" ht="14.1" customHeight="1" spans="1:6">
      <c r="A660" s="7" t="str">
        <f>"2101702228"</f>
        <v>2101702228</v>
      </c>
      <c r="B660" s="7" t="str">
        <f t="shared" si="35"/>
        <v>2021017</v>
      </c>
      <c r="C660" s="7" t="str">
        <f t="shared" si="36"/>
        <v>022</v>
      </c>
      <c r="D660" s="7" t="str">
        <f>"28"</f>
        <v>28</v>
      </c>
      <c r="E660" s="8">
        <v>68.5</v>
      </c>
      <c r="F660" s="7" t="s">
        <v>7</v>
      </c>
    </row>
    <row r="661" s="2" customFormat="1" ht="14.1" customHeight="1" spans="1:6">
      <c r="A661" s="7" t="str">
        <f>"2101702229"</f>
        <v>2101702229</v>
      </c>
      <c r="B661" s="7" t="str">
        <f t="shared" si="35"/>
        <v>2021017</v>
      </c>
      <c r="C661" s="7" t="str">
        <f t="shared" si="36"/>
        <v>022</v>
      </c>
      <c r="D661" s="7" t="str">
        <f>"29"</f>
        <v>29</v>
      </c>
      <c r="E661" s="8">
        <v>0</v>
      </c>
      <c r="F661" s="7" t="s">
        <v>8</v>
      </c>
    </row>
    <row r="662" s="2" customFormat="1" ht="14.1" customHeight="1" spans="1:6">
      <c r="A662" s="7" t="str">
        <f>"2101702230"</f>
        <v>2101702230</v>
      </c>
      <c r="B662" s="7" t="str">
        <f t="shared" si="35"/>
        <v>2021017</v>
      </c>
      <c r="C662" s="7" t="str">
        <f t="shared" si="36"/>
        <v>022</v>
      </c>
      <c r="D662" s="7" t="str">
        <f>"30"</f>
        <v>30</v>
      </c>
      <c r="E662" s="8">
        <v>67.7</v>
      </c>
      <c r="F662" s="7" t="s">
        <v>7</v>
      </c>
    </row>
    <row r="663" s="2" customFormat="1" ht="14.1" customHeight="1" spans="1:6">
      <c r="A663" s="7" t="str">
        <f>"2101702301"</f>
        <v>2101702301</v>
      </c>
      <c r="B663" s="7" t="str">
        <f t="shared" si="35"/>
        <v>2021017</v>
      </c>
      <c r="C663" s="7" t="str">
        <f t="shared" ref="C663:C692" si="37">"023"</f>
        <v>023</v>
      </c>
      <c r="D663" s="7" t="str">
        <f>"01"</f>
        <v>01</v>
      </c>
      <c r="E663" s="8">
        <v>0</v>
      </c>
      <c r="F663" s="7" t="s">
        <v>8</v>
      </c>
    </row>
    <row r="664" s="2" customFormat="1" ht="14.1" customHeight="1" spans="1:6">
      <c r="A664" s="7" t="str">
        <f>"2101702302"</f>
        <v>2101702302</v>
      </c>
      <c r="B664" s="7" t="str">
        <f t="shared" si="35"/>
        <v>2021017</v>
      </c>
      <c r="C664" s="7" t="str">
        <f t="shared" si="37"/>
        <v>023</v>
      </c>
      <c r="D664" s="7" t="str">
        <f>"02"</f>
        <v>02</v>
      </c>
      <c r="E664" s="8">
        <v>0</v>
      </c>
      <c r="F664" s="7" t="s">
        <v>8</v>
      </c>
    </row>
    <row r="665" s="2" customFormat="1" ht="14.1" customHeight="1" spans="1:6">
      <c r="A665" s="7" t="str">
        <f>"2101702303"</f>
        <v>2101702303</v>
      </c>
      <c r="B665" s="7" t="str">
        <f t="shared" si="35"/>
        <v>2021017</v>
      </c>
      <c r="C665" s="7" t="str">
        <f t="shared" si="37"/>
        <v>023</v>
      </c>
      <c r="D665" s="7" t="str">
        <f>"03"</f>
        <v>03</v>
      </c>
      <c r="E665" s="8">
        <v>63.9</v>
      </c>
      <c r="F665" s="7" t="s">
        <v>7</v>
      </c>
    </row>
    <row r="666" s="2" customFormat="1" ht="14.1" customHeight="1" spans="1:6">
      <c r="A666" s="7" t="str">
        <f>"2101702304"</f>
        <v>2101702304</v>
      </c>
      <c r="B666" s="7" t="str">
        <f t="shared" si="35"/>
        <v>2021017</v>
      </c>
      <c r="C666" s="7" t="str">
        <f t="shared" si="37"/>
        <v>023</v>
      </c>
      <c r="D666" s="7" t="str">
        <f>"04"</f>
        <v>04</v>
      </c>
      <c r="E666" s="8">
        <v>64.1</v>
      </c>
      <c r="F666" s="7" t="s">
        <v>7</v>
      </c>
    </row>
    <row r="667" s="2" customFormat="1" ht="14.1" customHeight="1" spans="1:6">
      <c r="A667" s="7" t="str">
        <f>"2101702305"</f>
        <v>2101702305</v>
      </c>
      <c r="B667" s="7" t="str">
        <f t="shared" si="35"/>
        <v>2021017</v>
      </c>
      <c r="C667" s="7" t="str">
        <f t="shared" si="37"/>
        <v>023</v>
      </c>
      <c r="D667" s="7" t="str">
        <f>"05"</f>
        <v>05</v>
      </c>
      <c r="E667" s="8">
        <v>64</v>
      </c>
      <c r="F667" s="7" t="s">
        <v>7</v>
      </c>
    </row>
    <row r="668" s="2" customFormat="1" ht="14.1" customHeight="1" spans="1:6">
      <c r="A668" s="7" t="str">
        <f>"2101702306"</f>
        <v>2101702306</v>
      </c>
      <c r="B668" s="7" t="str">
        <f t="shared" si="35"/>
        <v>2021017</v>
      </c>
      <c r="C668" s="7" t="str">
        <f t="shared" si="37"/>
        <v>023</v>
      </c>
      <c r="D668" s="7" t="str">
        <f>"06"</f>
        <v>06</v>
      </c>
      <c r="E668" s="8">
        <v>68.7</v>
      </c>
      <c r="F668" s="7" t="s">
        <v>7</v>
      </c>
    </row>
    <row r="669" s="2" customFormat="1" ht="14.1" customHeight="1" spans="1:6">
      <c r="A669" s="7" t="str">
        <f>"2101702307"</f>
        <v>2101702307</v>
      </c>
      <c r="B669" s="7" t="str">
        <f t="shared" si="35"/>
        <v>2021017</v>
      </c>
      <c r="C669" s="7" t="str">
        <f t="shared" si="37"/>
        <v>023</v>
      </c>
      <c r="D669" s="7" t="str">
        <f>"07"</f>
        <v>07</v>
      </c>
      <c r="E669" s="8">
        <v>0</v>
      </c>
      <c r="F669" s="7" t="s">
        <v>8</v>
      </c>
    </row>
    <row r="670" s="2" customFormat="1" ht="14.1" customHeight="1" spans="1:6">
      <c r="A670" s="7" t="str">
        <f>"2101702308"</f>
        <v>2101702308</v>
      </c>
      <c r="B670" s="7" t="str">
        <f t="shared" si="35"/>
        <v>2021017</v>
      </c>
      <c r="C670" s="7" t="str">
        <f t="shared" si="37"/>
        <v>023</v>
      </c>
      <c r="D670" s="7" t="str">
        <f>"08"</f>
        <v>08</v>
      </c>
      <c r="E670" s="8">
        <v>69.4</v>
      </c>
      <c r="F670" s="7" t="s">
        <v>7</v>
      </c>
    </row>
    <row r="671" s="2" customFormat="1" ht="14.1" customHeight="1" spans="1:6">
      <c r="A671" s="7" t="str">
        <f>"2101702309"</f>
        <v>2101702309</v>
      </c>
      <c r="B671" s="7" t="str">
        <f t="shared" si="35"/>
        <v>2021017</v>
      </c>
      <c r="C671" s="7" t="str">
        <f t="shared" si="37"/>
        <v>023</v>
      </c>
      <c r="D671" s="7" t="str">
        <f>"09"</f>
        <v>09</v>
      </c>
      <c r="E671" s="8">
        <v>0</v>
      </c>
      <c r="F671" s="7" t="s">
        <v>8</v>
      </c>
    </row>
    <row r="672" s="2" customFormat="1" ht="14.1" customHeight="1" spans="1:6">
      <c r="A672" s="7" t="str">
        <f>"2101702310"</f>
        <v>2101702310</v>
      </c>
      <c r="B672" s="7" t="str">
        <f t="shared" si="35"/>
        <v>2021017</v>
      </c>
      <c r="C672" s="7" t="str">
        <f t="shared" si="37"/>
        <v>023</v>
      </c>
      <c r="D672" s="7" t="str">
        <f>"10"</f>
        <v>10</v>
      </c>
      <c r="E672" s="8">
        <v>65.6</v>
      </c>
      <c r="F672" s="7" t="s">
        <v>7</v>
      </c>
    </row>
    <row r="673" s="2" customFormat="1" ht="14.1" customHeight="1" spans="1:6">
      <c r="A673" s="7" t="str">
        <f>"2101702311"</f>
        <v>2101702311</v>
      </c>
      <c r="B673" s="7" t="str">
        <f t="shared" si="35"/>
        <v>2021017</v>
      </c>
      <c r="C673" s="7" t="str">
        <f t="shared" si="37"/>
        <v>023</v>
      </c>
      <c r="D673" s="7" t="str">
        <f>"11"</f>
        <v>11</v>
      </c>
      <c r="E673" s="8">
        <v>0</v>
      </c>
      <c r="F673" s="7" t="s">
        <v>8</v>
      </c>
    </row>
    <row r="674" s="2" customFormat="1" ht="14.1" customHeight="1" spans="1:6">
      <c r="A674" s="7" t="str">
        <f>"2101702312"</f>
        <v>2101702312</v>
      </c>
      <c r="B674" s="7" t="str">
        <f t="shared" si="35"/>
        <v>2021017</v>
      </c>
      <c r="C674" s="7" t="str">
        <f t="shared" si="37"/>
        <v>023</v>
      </c>
      <c r="D674" s="7" t="str">
        <f>"12"</f>
        <v>12</v>
      </c>
      <c r="E674" s="8">
        <v>0</v>
      </c>
      <c r="F674" s="7" t="s">
        <v>8</v>
      </c>
    </row>
    <row r="675" s="2" customFormat="1" ht="14.1" customHeight="1" spans="1:6">
      <c r="A675" s="7" t="str">
        <f>"2101702313"</f>
        <v>2101702313</v>
      </c>
      <c r="B675" s="7" t="str">
        <f t="shared" si="35"/>
        <v>2021017</v>
      </c>
      <c r="C675" s="7" t="str">
        <f t="shared" si="37"/>
        <v>023</v>
      </c>
      <c r="D675" s="7" t="str">
        <f>"13"</f>
        <v>13</v>
      </c>
      <c r="E675" s="8">
        <v>0</v>
      </c>
      <c r="F675" s="7" t="s">
        <v>8</v>
      </c>
    </row>
    <row r="676" s="2" customFormat="1" ht="14.1" customHeight="1" spans="1:6">
      <c r="A676" s="7" t="str">
        <f>"2101702314"</f>
        <v>2101702314</v>
      </c>
      <c r="B676" s="7" t="str">
        <f t="shared" si="35"/>
        <v>2021017</v>
      </c>
      <c r="C676" s="7" t="str">
        <f t="shared" si="37"/>
        <v>023</v>
      </c>
      <c r="D676" s="7" t="str">
        <f>"14"</f>
        <v>14</v>
      </c>
      <c r="E676" s="8">
        <v>57.1</v>
      </c>
      <c r="F676" s="7" t="s">
        <v>7</v>
      </c>
    </row>
    <row r="677" s="2" customFormat="1" ht="14.1" customHeight="1" spans="1:6">
      <c r="A677" s="7" t="str">
        <f>"2101702315"</f>
        <v>2101702315</v>
      </c>
      <c r="B677" s="7" t="str">
        <f t="shared" si="35"/>
        <v>2021017</v>
      </c>
      <c r="C677" s="7" t="str">
        <f t="shared" si="37"/>
        <v>023</v>
      </c>
      <c r="D677" s="7" t="str">
        <f>"15"</f>
        <v>15</v>
      </c>
      <c r="E677" s="8">
        <v>0</v>
      </c>
      <c r="F677" s="7" t="s">
        <v>8</v>
      </c>
    </row>
    <row r="678" s="2" customFormat="1" ht="14.1" customHeight="1" spans="1:6">
      <c r="A678" s="7" t="str">
        <f>"2101702316"</f>
        <v>2101702316</v>
      </c>
      <c r="B678" s="7" t="str">
        <f t="shared" si="35"/>
        <v>2021017</v>
      </c>
      <c r="C678" s="7" t="str">
        <f t="shared" si="37"/>
        <v>023</v>
      </c>
      <c r="D678" s="7" t="str">
        <f>"16"</f>
        <v>16</v>
      </c>
      <c r="E678" s="8">
        <v>55.4</v>
      </c>
      <c r="F678" s="7" t="s">
        <v>7</v>
      </c>
    </row>
    <row r="679" s="2" customFormat="1" ht="14.1" customHeight="1" spans="1:6">
      <c r="A679" s="7" t="str">
        <f>"2101702317"</f>
        <v>2101702317</v>
      </c>
      <c r="B679" s="7" t="str">
        <f t="shared" si="35"/>
        <v>2021017</v>
      </c>
      <c r="C679" s="7" t="str">
        <f t="shared" si="37"/>
        <v>023</v>
      </c>
      <c r="D679" s="7" t="str">
        <f>"17"</f>
        <v>17</v>
      </c>
      <c r="E679" s="8">
        <v>0</v>
      </c>
      <c r="F679" s="7" t="s">
        <v>8</v>
      </c>
    </row>
    <row r="680" s="2" customFormat="1" ht="14.1" customHeight="1" spans="1:6">
      <c r="A680" s="7" t="str">
        <f>"2101702318"</f>
        <v>2101702318</v>
      </c>
      <c r="B680" s="7" t="str">
        <f t="shared" si="35"/>
        <v>2021017</v>
      </c>
      <c r="C680" s="7" t="str">
        <f t="shared" si="37"/>
        <v>023</v>
      </c>
      <c r="D680" s="7" t="str">
        <f>"18"</f>
        <v>18</v>
      </c>
      <c r="E680" s="8">
        <v>64</v>
      </c>
      <c r="F680" s="7" t="s">
        <v>7</v>
      </c>
    </row>
    <row r="681" s="2" customFormat="1" ht="14.1" customHeight="1" spans="1:6">
      <c r="A681" s="7" t="str">
        <f>"2101702319"</f>
        <v>2101702319</v>
      </c>
      <c r="B681" s="7" t="str">
        <f t="shared" si="35"/>
        <v>2021017</v>
      </c>
      <c r="C681" s="7" t="str">
        <f t="shared" si="37"/>
        <v>023</v>
      </c>
      <c r="D681" s="7" t="str">
        <f>"19"</f>
        <v>19</v>
      </c>
      <c r="E681" s="8">
        <v>62</v>
      </c>
      <c r="F681" s="7" t="s">
        <v>7</v>
      </c>
    </row>
    <row r="682" s="2" customFormat="1" ht="14.1" customHeight="1" spans="1:6">
      <c r="A682" s="7" t="str">
        <f>"2101702320"</f>
        <v>2101702320</v>
      </c>
      <c r="B682" s="7" t="str">
        <f t="shared" si="35"/>
        <v>2021017</v>
      </c>
      <c r="C682" s="7" t="str">
        <f t="shared" si="37"/>
        <v>023</v>
      </c>
      <c r="D682" s="7" t="str">
        <f>"20"</f>
        <v>20</v>
      </c>
      <c r="E682" s="8">
        <v>72.3</v>
      </c>
      <c r="F682" s="7" t="s">
        <v>7</v>
      </c>
    </row>
    <row r="683" s="2" customFormat="1" ht="14.1" customHeight="1" spans="1:6">
      <c r="A683" s="7" t="str">
        <f>"2101702321"</f>
        <v>2101702321</v>
      </c>
      <c r="B683" s="7" t="str">
        <f t="shared" si="35"/>
        <v>2021017</v>
      </c>
      <c r="C683" s="7" t="str">
        <f t="shared" si="37"/>
        <v>023</v>
      </c>
      <c r="D683" s="7" t="str">
        <f>"21"</f>
        <v>21</v>
      </c>
      <c r="E683" s="8">
        <v>69.5</v>
      </c>
      <c r="F683" s="7" t="s">
        <v>7</v>
      </c>
    </row>
    <row r="684" s="2" customFormat="1" ht="14.1" customHeight="1" spans="1:6">
      <c r="A684" s="7" t="str">
        <f>"2101702322"</f>
        <v>2101702322</v>
      </c>
      <c r="B684" s="7" t="str">
        <f t="shared" si="35"/>
        <v>2021017</v>
      </c>
      <c r="C684" s="7" t="str">
        <f t="shared" si="37"/>
        <v>023</v>
      </c>
      <c r="D684" s="7" t="str">
        <f>"22"</f>
        <v>22</v>
      </c>
      <c r="E684" s="8">
        <v>71.5</v>
      </c>
      <c r="F684" s="7" t="s">
        <v>7</v>
      </c>
    </row>
    <row r="685" s="2" customFormat="1" ht="14.1" customHeight="1" spans="1:6">
      <c r="A685" s="7" t="str">
        <f>"2101702323"</f>
        <v>2101702323</v>
      </c>
      <c r="B685" s="7" t="str">
        <f t="shared" si="35"/>
        <v>2021017</v>
      </c>
      <c r="C685" s="7" t="str">
        <f t="shared" si="37"/>
        <v>023</v>
      </c>
      <c r="D685" s="7" t="str">
        <f>"23"</f>
        <v>23</v>
      </c>
      <c r="E685" s="8">
        <v>0</v>
      </c>
      <c r="F685" s="7" t="s">
        <v>8</v>
      </c>
    </row>
    <row r="686" s="2" customFormat="1" ht="14.1" customHeight="1" spans="1:6">
      <c r="A686" s="7" t="str">
        <f>"2101702324"</f>
        <v>2101702324</v>
      </c>
      <c r="B686" s="7" t="str">
        <f t="shared" si="35"/>
        <v>2021017</v>
      </c>
      <c r="C686" s="7" t="str">
        <f t="shared" si="37"/>
        <v>023</v>
      </c>
      <c r="D686" s="7" t="str">
        <f>"24"</f>
        <v>24</v>
      </c>
      <c r="E686" s="8">
        <v>0</v>
      </c>
      <c r="F686" s="7" t="s">
        <v>8</v>
      </c>
    </row>
    <row r="687" s="2" customFormat="1" ht="14.1" customHeight="1" spans="1:6">
      <c r="A687" s="7" t="str">
        <f>"2101702325"</f>
        <v>2101702325</v>
      </c>
      <c r="B687" s="7" t="str">
        <f t="shared" si="35"/>
        <v>2021017</v>
      </c>
      <c r="C687" s="7" t="str">
        <f t="shared" si="37"/>
        <v>023</v>
      </c>
      <c r="D687" s="7" t="str">
        <f>"25"</f>
        <v>25</v>
      </c>
      <c r="E687" s="8">
        <v>66.2</v>
      </c>
      <c r="F687" s="7" t="s">
        <v>7</v>
      </c>
    </row>
    <row r="688" s="2" customFormat="1" ht="14.1" customHeight="1" spans="1:6">
      <c r="A688" s="7" t="str">
        <f>"2101702326"</f>
        <v>2101702326</v>
      </c>
      <c r="B688" s="7" t="str">
        <f t="shared" ref="B688:B751" si="38">"2021017"</f>
        <v>2021017</v>
      </c>
      <c r="C688" s="7" t="str">
        <f t="shared" si="37"/>
        <v>023</v>
      </c>
      <c r="D688" s="7" t="str">
        <f>"26"</f>
        <v>26</v>
      </c>
      <c r="E688" s="8">
        <v>59</v>
      </c>
      <c r="F688" s="7" t="s">
        <v>7</v>
      </c>
    </row>
    <row r="689" s="2" customFormat="1" ht="14.1" customHeight="1" spans="1:6">
      <c r="A689" s="7" t="str">
        <f>"2101702327"</f>
        <v>2101702327</v>
      </c>
      <c r="B689" s="7" t="str">
        <f t="shared" si="38"/>
        <v>2021017</v>
      </c>
      <c r="C689" s="7" t="str">
        <f t="shared" si="37"/>
        <v>023</v>
      </c>
      <c r="D689" s="7" t="str">
        <f>"27"</f>
        <v>27</v>
      </c>
      <c r="E689" s="8">
        <v>72.6</v>
      </c>
      <c r="F689" s="7" t="s">
        <v>7</v>
      </c>
    </row>
    <row r="690" s="2" customFormat="1" ht="14.1" customHeight="1" spans="1:6">
      <c r="A690" s="7" t="str">
        <f>"2101702328"</f>
        <v>2101702328</v>
      </c>
      <c r="B690" s="7" t="str">
        <f t="shared" si="38"/>
        <v>2021017</v>
      </c>
      <c r="C690" s="7" t="str">
        <f t="shared" si="37"/>
        <v>023</v>
      </c>
      <c r="D690" s="7" t="str">
        <f>"28"</f>
        <v>28</v>
      </c>
      <c r="E690" s="8">
        <v>0</v>
      </c>
      <c r="F690" s="7" t="s">
        <v>8</v>
      </c>
    </row>
    <row r="691" s="2" customFormat="1" ht="14.1" customHeight="1" spans="1:6">
      <c r="A691" s="7" t="str">
        <f>"2101702329"</f>
        <v>2101702329</v>
      </c>
      <c r="B691" s="7" t="str">
        <f t="shared" si="38"/>
        <v>2021017</v>
      </c>
      <c r="C691" s="7" t="str">
        <f t="shared" si="37"/>
        <v>023</v>
      </c>
      <c r="D691" s="7" t="str">
        <f>"29"</f>
        <v>29</v>
      </c>
      <c r="E691" s="8">
        <v>73.2</v>
      </c>
      <c r="F691" s="7" t="s">
        <v>7</v>
      </c>
    </row>
    <row r="692" s="2" customFormat="1" ht="14.1" customHeight="1" spans="1:6">
      <c r="A692" s="7" t="str">
        <f>"2101702330"</f>
        <v>2101702330</v>
      </c>
      <c r="B692" s="7" t="str">
        <f t="shared" si="38"/>
        <v>2021017</v>
      </c>
      <c r="C692" s="7" t="str">
        <f t="shared" si="37"/>
        <v>023</v>
      </c>
      <c r="D692" s="7" t="str">
        <f>"30"</f>
        <v>30</v>
      </c>
      <c r="E692" s="8">
        <v>63.7</v>
      </c>
      <c r="F692" s="7" t="s">
        <v>7</v>
      </c>
    </row>
    <row r="693" s="2" customFormat="1" ht="14.1" customHeight="1" spans="1:6">
      <c r="A693" s="7" t="str">
        <f>"2101702401"</f>
        <v>2101702401</v>
      </c>
      <c r="B693" s="7" t="str">
        <f t="shared" si="38"/>
        <v>2021017</v>
      </c>
      <c r="C693" s="7" t="str">
        <f t="shared" ref="C693:C722" si="39">"024"</f>
        <v>024</v>
      </c>
      <c r="D693" s="7" t="str">
        <f>"01"</f>
        <v>01</v>
      </c>
      <c r="E693" s="8">
        <v>0</v>
      </c>
      <c r="F693" s="7" t="s">
        <v>8</v>
      </c>
    </row>
    <row r="694" s="2" customFormat="1" ht="14.1" customHeight="1" spans="1:6">
      <c r="A694" s="7" t="str">
        <f>"2101702402"</f>
        <v>2101702402</v>
      </c>
      <c r="B694" s="7" t="str">
        <f t="shared" si="38"/>
        <v>2021017</v>
      </c>
      <c r="C694" s="7" t="str">
        <f t="shared" si="39"/>
        <v>024</v>
      </c>
      <c r="D694" s="7" t="str">
        <f>"02"</f>
        <v>02</v>
      </c>
      <c r="E694" s="8">
        <v>58.3</v>
      </c>
      <c r="F694" s="7" t="s">
        <v>7</v>
      </c>
    </row>
    <row r="695" s="2" customFormat="1" ht="14.1" customHeight="1" spans="1:6">
      <c r="A695" s="7" t="str">
        <f>"2101702403"</f>
        <v>2101702403</v>
      </c>
      <c r="B695" s="7" t="str">
        <f t="shared" si="38"/>
        <v>2021017</v>
      </c>
      <c r="C695" s="7" t="str">
        <f t="shared" si="39"/>
        <v>024</v>
      </c>
      <c r="D695" s="7" t="str">
        <f>"03"</f>
        <v>03</v>
      </c>
      <c r="E695" s="8">
        <v>71.7</v>
      </c>
      <c r="F695" s="7" t="s">
        <v>7</v>
      </c>
    </row>
    <row r="696" s="2" customFormat="1" ht="14.1" customHeight="1" spans="1:6">
      <c r="A696" s="7" t="str">
        <f>"2101702404"</f>
        <v>2101702404</v>
      </c>
      <c r="B696" s="7" t="str">
        <f t="shared" si="38"/>
        <v>2021017</v>
      </c>
      <c r="C696" s="7" t="str">
        <f t="shared" si="39"/>
        <v>024</v>
      </c>
      <c r="D696" s="7" t="str">
        <f>"04"</f>
        <v>04</v>
      </c>
      <c r="E696" s="8">
        <v>68.1</v>
      </c>
      <c r="F696" s="7" t="s">
        <v>7</v>
      </c>
    </row>
    <row r="697" s="2" customFormat="1" ht="14.1" customHeight="1" spans="1:6">
      <c r="A697" s="7" t="str">
        <f>"2101702405"</f>
        <v>2101702405</v>
      </c>
      <c r="B697" s="7" t="str">
        <f t="shared" si="38"/>
        <v>2021017</v>
      </c>
      <c r="C697" s="7" t="str">
        <f t="shared" si="39"/>
        <v>024</v>
      </c>
      <c r="D697" s="7" t="str">
        <f>"05"</f>
        <v>05</v>
      </c>
      <c r="E697" s="8">
        <v>66.8</v>
      </c>
      <c r="F697" s="7" t="s">
        <v>7</v>
      </c>
    </row>
    <row r="698" s="2" customFormat="1" ht="14.1" customHeight="1" spans="1:6">
      <c r="A698" s="7" t="str">
        <f>"2101702406"</f>
        <v>2101702406</v>
      </c>
      <c r="B698" s="7" t="str">
        <f t="shared" si="38"/>
        <v>2021017</v>
      </c>
      <c r="C698" s="7" t="str">
        <f t="shared" si="39"/>
        <v>024</v>
      </c>
      <c r="D698" s="7" t="str">
        <f>"06"</f>
        <v>06</v>
      </c>
      <c r="E698" s="8">
        <v>69.6</v>
      </c>
      <c r="F698" s="7" t="s">
        <v>7</v>
      </c>
    </row>
    <row r="699" s="2" customFormat="1" ht="14.1" customHeight="1" spans="1:6">
      <c r="A699" s="7" t="str">
        <f>"2101702407"</f>
        <v>2101702407</v>
      </c>
      <c r="B699" s="7" t="str">
        <f t="shared" si="38"/>
        <v>2021017</v>
      </c>
      <c r="C699" s="7" t="str">
        <f t="shared" si="39"/>
        <v>024</v>
      </c>
      <c r="D699" s="7" t="str">
        <f>"07"</f>
        <v>07</v>
      </c>
      <c r="E699" s="8">
        <v>0</v>
      </c>
      <c r="F699" s="7" t="s">
        <v>8</v>
      </c>
    </row>
    <row r="700" s="2" customFormat="1" ht="14.1" customHeight="1" spans="1:6">
      <c r="A700" s="7" t="str">
        <f>"2101702408"</f>
        <v>2101702408</v>
      </c>
      <c r="B700" s="7" t="str">
        <f t="shared" si="38"/>
        <v>2021017</v>
      </c>
      <c r="C700" s="7" t="str">
        <f t="shared" si="39"/>
        <v>024</v>
      </c>
      <c r="D700" s="7" t="str">
        <f>"08"</f>
        <v>08</v>
      </c>
      <c r="E700" s="8">
        <v>70.8</v>
      </c>
      <c r="F700" s="7" t="s">
        <v>7</v>
      </c>
    </row>
    <row r="701" s="2" customFormat="1" ht="14.1" customHeight="1" spans="1:6">
      <c r="A701" s="7" t="str">
        <f>"2101702409"</f>
        <v>2101702409</v>
      </c>
      <c r="B701" s="7" t="str">
        <f t="shared" si="38"/>
        <v>2021017</v>
      </c>
      <c r="C701" s="7" t="str">
        <f t="shared" si="39"/>
        <v>024</v>
      </c>
      <c r="D701" s="7" t="str">
        <f>"09"</f>
        <v>09</v>
      </c>
      <c r="E701" s="8">
        <v>0</v>
      </c>
      <c r="F701" s="7" t="s">
        <v>8</v>
      </c>
    </row>
    <row r="702" s="2" customFormat="1" ht="14.1" customHeight="1" spans="1:6">
      <c r="A702" s="7" t="str">
        <f>"2101702410"</f>
        <v>2101702410</v>
      </c>
      <c r="B702" s="7" t="str">
        <f t="shared" si="38"/>
        <v>2021017</v>
      </c>
      <c r="C702" s="7" t="str">
        <f t="shared" si="39"/>
        <v>024</v>
      </c>
      <c r="D702" s="7" t="str">
        <f>"10"</f>
        <v>10</v>
      </c>
      <c r="E702" s="8">
        <v>0</v>
      </c>
      <c r="F702" s="7" t="s">
        <v>8</v>
      </c>
    </row>
    <row r="703" s="2" customFormat="1" ht="14.1" customHeight="1" spans="1:6">
      <c r="A703" s="7" t="str">
        <f>"2101702411"</f>
        <v>2101702411</v>
      </c>
      <c r="B703" s="7" t="str">
        <f t="shared" si="38"/>
        <v>2021017</v>
      </c>
      <c r="C703" s="7" t="str">
        <f t="shared" si="39"/>
        <v>024</v>
      </c>
      <c r="D703" s="7" t="str">
        <f>"11"</f>
        <v>11</v>
      </c>
      <c r="E703" s="8">
        <v>0</v>
      </c>
      <c r="F703" s="7" t="s">
        <v>8</v>
      </c>
    </row>
    <row r="704" s="2" customFormat="1" ht="14.1" customHeight="1" spans="1:6">
      <c r="A704" s="7" t="str">
        <f>"2101702412"</f>
        <v>2101702412</v>
      </c>
      <c r="B704" s="7" t="str">
        <f t="shared" si="38"/>
        <v>2021017</v>
      </c>
      <c r="C704" s="7" t="str">
        <f t="shared" si="39"/>
        <v>024</v>
      </c>
      <c r="D704" s="7" t="str">
        <f>"12"</f>
        <v>12</v>
      </c>
      <c r="E704" s="8">
        <v>62.3</v>
      </c>
      <c r="F704" s="7" t="s">
        <v>7</v>
      </c>
    </row>
    <row r="705" s="2" customFormat="1" ht="14.1" customHeight="1" spans="1:6">
      <c r="A705" s="7" t="str">
        <f>"2101702413"</f>
        <v>2101702413</v>
      </c>
      <c r="B705" s="7" t="str">
        <f t="shared" si="38"/>
        <v>2021017</v>
      </c>
      <c r="C705" s="7" t="str">
        <f t="shared" si="39"/>
        <v>024</v>
      </c>
      <c r="D705" s="7" t="str">
        <f>"13"</f>
        <v>13</v>
      </c>
      <c r="E705" s="8">
        <v>51.2</v>
      </c>
      <c r="F705" s="7" t="s">
        <v>7</v>
      </c>
    </row>
    <row r="706" s="2" customFormat="1" ht="14.1" customHeight="1" spans="1:6">
      <c r="A706" s="7" t="str">
        <f>"2101702414"</f>
        <v>2101702414</v>
      </c>
      <c r="B706" s="7" t="str">
        <f t="shared" si="38"/>
        <v>2021017</v>
      </c>
      <c r="C706" s="7" t="str">
        <f t="shared" si="39"/>
        <v>024</v>
      </c>
      <c r="D706" s="7" t="str">
        <f>"14"</f>
        <v>14</v>
      </c>
      <c r="E706" s="8">
        <v>54</v>
      </c>
      <c r="F706" s="7" t="s">
        <v>7</v>
      </c>
    </row>
    <row r="707" s="2" customFormat="1" ht="14.1" customHeight="1" spans="1:6">
      <c r="A707" s="7" t="str">
        <f>"2101702415"</f>
        <v>2101702415</v>
      </c>
      <c r="B707" s="7" t="str">
        <f t="shared" si="38"/>
        <v>2021017</v>
      </c>
      <c r="C707" s="7" t="str">
        <f t="shared" si="39"/>
        <v>024</v>
      </c>
      <c r="D707" s="7" t="str">
        <f>"15"</f>
        <v>15</v>
      </c>
      <c r="E707" s="8">
        <v>58.5</v>
      </c>
      <c r="F707" s="7" t="s">
        <v>7</v>
      </c>
    </row>
    <row r="708" s="2" customFormat="1" ht="14.1" customHeight="1" spans="1:6">
      <c r="A708" s="7" t="str">
        <f>"2101702416"</f>
        <v>2101702416</v>
      </c>
      <c r="B708" s="7" t="str">
        <f t="shared" si="38"/>
        <v>2021017</v>
      </c>
      <c r="C708" s="7" t="str">
        <f t="shared" si="39"/>
        <v>024</v>
      </c>
      <c r="D708" s="7" t="str">
        <f>"16"</f>
        <v>16</v>
      </c>
      <c r="E708" s="8">
        <v>58.7</v>
      </c>
      <c r="F708" s="7" t="s">
        <v>7</v>
      </c>
    </row>
    <row r="709" s="2" customFormat="1" ht="14.1" customHeight="1" spans="1:6">
      <c r="A709" s="7" t="str">
        <f>"2101702417"</f>
        <v>2101702417</v>
      </c>
      <c r="B709" s="7" t="str">
        <f t="shared" si="38"/>
        <v>2021017</v>
      </c>
      <c r="C709" s="7" t="str">
        <f t="shared" si="39"/>
        <v>024</v>
      </c>
      <c r="D709" s="7" t="str">
        <f>"17"</f>
        <v>17</v>
      </c>
      <c r="E709" s="8">
        <v>0</v>
      </c>
      <c r="F709" s="7" t="s">
        <v>8</v>
      </c>
    </row>
    <row r="710" s="2" customFormat="1" ht="14.1" customHeight="1" spans="1:6">
      <c r="A710" s="7" t="str">
        <f>"2101702418"</f>
        <v>2101702418</v>
      </c>
      <c r="B710" s="7" t="str">
        <f t="shared" si="38"/>
        <v>2021017</v>
      </c>
      <c r="C710" s="7" t="str">
        <f t="shared" si="39"/>
        <v>024</v>
      </c>
      <c r="D710" s="7" t="str">
        <f>"18"</f>
        <v>18</v>
      </c>
      <c r="E710" s="8">
        <v>0</v>
      </c>
      <c r="F710" s="7" t="s">
        <v>8</v>
      </c>
    </row>
    <row r="711" s="2" customFormat="1" ht="14.1" customHeight="1" spans="1:6">
      <c r="A711" s="7" t="str">
        <f>"2101702419"</f>
        <v>2101702419</v>
      </c>
      <c r="B711" s="7" t="str">
        <f t="shared" si="38"/>
        <v>2021017</v>
      </c>
      <c r="C711" s="7" t="str">
        <f t="shared" si="39"/>
        <v>024</v>
      </c>
      <c r="D711" s="7" t="str">
        <f>"19"</f>
        <v>19</v>
      </c>
      <c r="E711" s="8">
        <v>0</v>
      </c>
      <c r="F711" s="7" t="s">
        <v>8</v>
      </c>
    </row>
    <row r="712" s="2" customFormat="1" ht="14.1" customHeight="1" spans="1:6">
      <c r="A712" s="7" t="str">
        <f>"2101702420"</f>
        <v>2101702420</v>
      </c>
      <c r="B712" s="7" t="str">
        <f t="shared" si="38"/>
        <v>2021017</v>
      </c>
      <c r="C712" s="7" t="str">
        <f t="shared" si="39"/>
        <v>024</v>
      </c>
      <c r="D712" s="7" t="str">
        <f>"20"</f>
        <v>20</v>
      </c>
      <c r="E712" s="8">
        <v>0</v>
      </c>
      <c r="F712" s="7" t="s">
        <v>8</v>
      </c>
    </row>
    <row r="713" s="2" customFormat="1" ht="14.1" customHeight="1" spans="1:6">
      <c r="A713" s="7" t="str">
        <f>"2101702421"</f>
        <v>2101702421</v>
      </c>
      <c r="B713" s="7" t="str">
        <f t="shared" si="38"/>
        <v>2021017</v>
      </c>
      <c r="C713" s="7" t="str">
        <f t="shared" si="39"/>
        <v>024</v>
      </c>
      <c r="D713" s="7" t="str">
        <f>"21"</f>
        <v>21</v>
      </c>
      <c r="E713" s="8">
        <v>69.3</v>
      </c>
      <c r="F713" s="7" t="s">
        <v>7</v>
      </c>
    </row>
    <row r="714" s="2" customFormat="1" ht="14.1" customHeight="1" spans="1:6">
      <c r="A714" s="7" t="str">
        <f>"2101702422"</f>
        <v>2101702422</v>
      </c>
      <c r="B714" s="7" t="str">
        <f t="shared" si="38"/>
        <v>2021017</v>
      </c>
      <c r="C714" s="7" t="str">
        <f t="shared" si="39"/>
        <v>024</v>
      </c>
      <c r="D714" s="7" t="str">
        <f>"22"</f>
        <v>22</v>
      </c>
      <c r="E714" s="8">
        <v>0</v>
      </c>
      <c r="F714" s="7" t="s">
        <v>8</v>
      </c>
    </row>
    <row r="715" s="2" customFormat="1" ht="14.1" customHeight="1" spans="1:6">
      <c r="A715" s="7" t="str">
        <f>"2101702423"</f>
        <v>2101702423</v>
      </c>
      <c r="B715" s="7" t="str">
        <f t="shared" si="38"/>
        <v>2021017</v>
      </c>
      <c r="C715" s="7" t="str">
        <f t="shared" si="39"/>
        <v>024</v>
      </c>
      <c r="D715" s="7" t="str">
        <f>"23"</f>
        <v>23</v>
      </c>
      <c r="E715" s="8">
        <v>0</v>
      </c>
      <c r="F715" s="7" t="s">
        <v>8</v>
      </c>
    </row>
    <row r="716" s="2" customFormat="1" ht="14.1" customHeight="1" spans="1:6">
      <c r="A716" s="7" t="str">
        <f>"2101702424"</f>
        <v>2101702424</v>
      </c>
      <c r="B716" s="7" t="str">
        <f t="shared" si="38"/>
        <v>2021017</v>
      </c>
      <c r="C716" s="7" t="str">
        <f t="shared" si="39"/>
        <v>024</v>
      </c>
      <c r="D716" s="7" t="str">
        <f>"24"</f>
        <v>24</v>
      </c>
      <c r="E716" s="8">
        <v>0</v>
      </c>
      <c r="F716" s="7" t="s">
        <v>8</v>
      </c>
    </row>
    <row r="717" s="2" customFormat="1" ht="14.1" customHeight="1" spans="1:6">
      <c r="A717" s="7" t="str">
        <f>"2101702425"</f>
        <v>2101702425</v>
      </c>
      <c r="B717" s="7" t="str">
        <f t="shared" si="38"/>
        <v>2021017</v>
      </c>
      <c r="C717" s="7" t="str">
        <f t="shared" si="39"/>
        <v>024</v>
      </c>
      <c r="D717" s="7" t="str">
        <f>"25"</f>
        <v>25</v>
      </c>
      <c r="E717" s="8">
        <v>0</v>
      </c>
      <c r="F717" s="7" t="s">
        <v>8</v>
      </c>
    </row>
    <row r="718" s="2" customFormat="1" ht="14.1" customHeight="1" spans="1:6">
      <c r="A718" s="7" t="str">
        <f>"2101702426"</f>
        <v>2101702426</v>
      </c>
      <c r="B718" s="7" t="str">
        <f t="shared" si="38"/>
        <v>2021017</v>
      </c>
      <c r="C718" s="7" t="str">
        <f t="shared" si="39"/>
        <v>024</v>
      </c>
      <c r="D718" s="7" t="str">
        <f>"26"</f>
        <v>26</v>
      </c>
      <c r="E718" s="8">
        <v>66.1</v>
      </c>
      <c r="F718" s="7" t="s">
        <v>7</v>
      </c>
    </row>
    <row r="719" s="2" customFormat="1" ht="14.1" customHeight="1" spans="1:6">
      <c r="A719" s="7" t="str">
        <f>"2101702427"</f>
        <v>2101702427</v>
      </c>
      <c r="B719" s="7" t="str">
        <f t="shared" si="38"/>
        <v>2021017</v>
      </c>
      <c r="C719" s="7" t="str">
        <f t="shared" si="39"/>
        <v>024</v>
      </c>
      <c r="D719" s="7" t="str">
        <f>"27"</f>
        <v>27</v>
      </c>
      <c r="E719" s="8">
        <v>76.5</v>
      </c>
      <c r="F719" s="7" t="s">
        <v>7</v>
      </c>
    </row>
    <row r="720" s="2" customFormat="1" ht="14.1" customHeight="1" spans="1:6">
      <c r="A720" s="7" t="str">
        <f>"2101702428"</f>
        <v>2101702428</v>
      </c>
      <c r="B720" s="7" t="str">
        <f t="shared" si="38"/>
        <v>2021017</v>
      </c>
      <c r="C720" s="7" t="str">
        <f t="shared" si="39"/>
        <v>024</v>
      </c>
      <c r="D720" s="7" t="str">
        <f>"28"</f>
        <v>28</v>
      </c>
      <c r="E720" s="8">
        <v>54.2</v>
      </c>
      <c r="F720" s="7" t="s">
        <v>7</v>
      </c>
    </row>
    <row r="721" s="2" customFormat="1" ht="14.1" customHeight="1" spans="1:6">
      <c r="A721" s="7" t="str">
        <f>"2101702429"</f>
        <v>2101702429</v>
      </c>
      <c r="B721" s="7" t="str">
        <f t="shared" si="38"/>
        <v>2021017</v>
      </c>
      <c r="C721" s="7" t="str">
        <f t="shared" si="39"/>
        <v>024</v>
      </c>
      <c r="D721" s="7" t="str">
        <f>"29"</f>
        <v>29</v>
      </c>
      <c r="E721" s="8">
        <v>79.7</v>
      </c>
      <c r="F721" s="7" t="s">
        <v>7</v>
      </c>
    </row>
    <row r="722" s="2" customFormat="1" ht="14.1" customHeight="1" spans="1:6">
      <c r="A722" s="7" t="str">
        <f>"2101702430"</f>
        <v>2101702430</v>
      </c>
      <c r="B722" s="7" t="str">
        <f t="shared" si="38"/>
        <v>2021017</v>
      </c>
      <c r="C722" s="7" t="str">
        <f t="shared" si="39"/>
        <v>024</v>
      </c>
      <c r="D722" s="7" t="str">
        <f>"30"</f>
        <v>30</v>
      </c>
      <c r="E722" s="8">
        <v>64.7</v>
      </c>
      <c r="F722" s="7" t="s">
        <v>7</v>
      </c>
    </row>
    <row r="723" s="2" customFormat="1" ht="14.1" customHeight="1" spans="1:6">
      <c r="A723" s="7" t="str">
        <f>"2101702501"</f>
        <v>2101702501</v>
      </c>
      <c r="B723" s="7" t="str">
        <f t="shared" si="38"/>
        <v>2021017</v>
      </c>
      <c r="C723" s="7" t="str">
        <f t="shared" ref="C723:C752" si="40">"025"</f>
        <v>025</v>
      </c>
      <c r="D723" s="7" t="str">
        <f>"01"</f>
        <v>01</v>
      </c>
      <c r="E723" s="8">
        <v>56.4</v>
      </c>
      <c r="F723" s="7" t="s">
        <v>7</v>
      </c>
    </row>
    <row r="724" s="2" customFormat="1" ht="14.1" customHeight="1" spans="1:6">
      <c r="A724" s="7" t="str">
        <f>"2101702502"</f>
        <v>2101702502</v>
      </c>
      <c r="B724" s="7" t="str">
        <f t="shared" si="38"/>
        <v>2021017</v>
      </c>
      <c r="C724" s="7" t="str">
        <f t="shared" si="40"/>
        <v>025</v>
      </c>
      <c r="D724" s="7" t="str">
        <f>"02"</f>
        <v>02</v>
      </c>
      <c r="E724" s="8">
        <v>62.6</v>
      </c>
      <c r="F724" s="7" t="s">
        <v>7</v>
      </c>
    </row>
    <row r="725" s="2" customFormat="1" ht="14.1" customHeight="1" spans="1:6">
      <c r="A725" s="7" t="str">
        <f>"2101702503"</f>
        <v>2101702503</v>
      </c>
      <c r="B725" s="7" t="str">
        <f t="shared" si="38"/>
        <v>2021017</v>
      </c>
      <c r="C725" s="7" t="str">
        <f t="shared" si="40"/>
        <v>025</v>
      </c>
      <c r="D725" s="7" t="str">
        <f>"03"</f>
        <v>03</v>
      </c>
      <c r="E725" s="8">
        <v>62.8</v>
      </c>
      <c r="F725" s="7" t="s">
        <v>7</v>
      </c>
    </row>
    <row r="726" s="2" customFormat="1" ht="14.1" customHeight="1" spans="1:6">
      <c r="A726" s="7" t="str">
        <f>"2101702504"</f>
        <v>2101702504</v>
      </c>
      <c r="B726" s="7" t="str">
        <f t="shared" si="38"/>
        <v>2021017</v>
      </c>
      <c r="C726" s="7" t="str">
        <f t="shared" si="40"/>
        <v>025</v>
      </c>
      <c r="D726" s="7" t="str">
        <f>"04"</f>
        <v>04</v>
      </c>
      <c r="E726" s="8">
        <v>63.3</v>
      </c>
      <c r="F726" s="7" t="s">
        <v>7</v>
      </c>
    </row>
    <row r="727" s="2" customFormat="1" ht="14.1" customHeight="1" spans="1:6">
      <c r="A727" s="7" t="str">
        <f>"2101702505"</f>
        <v>2101702505</v>
      </c>
      <c r="B727" s="7" t="str">
        <f t="shared" si="38"/>
        <v>2021017</v>
      </c>
      <c r="C727" s="7" t="str">
        <f t="shared" si="40"/>
        <v>025</v>
      </c>
      <c r="D727" s="7" t="str">
        <f>"05"</f>
        <v>05</v>
      </c>
      <c r="E727" s="8">
        <v>0</v>
      </c>
      <c r="F727" s="7" t="s">
        <v>8</v>
      </c>
    </row>
    <row r="728" s="2" customFormat="1" ht="14.1" customHeight="1" spans="1:6">
      <c r="A728" s="7" t="str">
        <f>"2101702506"</f>
        <v>2101702506</v>
      </c>
      <c r="B728" s="7" t="str">
        <f t="shared" si="38"/>
        <v>2021017</v>
      </c>
      <c r="C728" s="7" t="str">
        <f t="shared" si="40"/>
        <v>025</v>
      </c>
      <c r="D728" s="7" t="str">
        <f>"06"</f>
        <v>06</v>
      </c>
      <c r="E728" s="8">
        <v>64.6</v>
      </c>
      <c r="F728" s="7" t="s">
        <v>7</v>
      </c>
    </row>
    <row r="729" s="2" customFormat="1" ht="14.1" customHeight="1" spans="1:6">
      <c r="A729" s="7" t="str">
        <f>"2101702507"</f>
        <v>2101702507</v>
      </c>
      <c r="B729" s="7" t="str">
        <f t="shared" si="38"/>
        <v>2021017</v>
      </c>
      <c r="C729" s="7" t="str">
        <f t="shared" si="40"/>
        <v>025</v>
      </c>
      <c r="D729" s="7" t="str">
        <f>"07"</f>
        <v>07</v>
      </c>
      <c r="E729" s="8">
        <v>59.2</v>
      </c>
      <c r="F729" s="7" t="s">
        <v>7</v>
      </c>
    </row>
    <row r="730" s="2" customFormat="1" ht="14.1" customHeight="1" spans="1:6">
      <c r="A730" s="7" t="str">
        <f>"2101702508"</f>
        <v>2101702508</v>
      </c>
      <c r="B730" s="7" t="str">
        <f t="shared" si="38"/>
        <v>2021017</v>
      </c>
      <c r="C730" s="7" t="str">
        <f t="shared" si="40"/>
        <v>025</v>
      </c>
      <c r="D730" s="7" t="str">
        <f>"08"</f>
        <v>08</v>
      </c>
      <c r="E730" s="8">
        <v>0</v>
      </c>
      <c r="F730" s="7" t="s">
        <v>8</v>
      </c>
    </row>
    <row r="731" s="2" customFormat="1" ht="14.1" customHeight="1" spans="1:6">
      <c r="A731" s="7" t="str">
        <f>"2101702509"</f>
        <v>2101702509</v>
      </c>
      <c r="B731" s="7" t="str">
        <f t="shared" si="38"/>
        <v>2021017</v>
      </c>
      <c r="C731" s="7" t="str">
        <f t="shared" si="40"/>
        <v>025</v>
      </c>
      <c r="D731" s="7" t="str">
        <f>"09"</f>
        <v>09</v>
      </c>
      <c r="E731" s="8">
        <v>0</v>
      </c>
      <c r="F731" s="7" t="s">
        <v>8</v>
      </c>
    </row>
    <row r="732" s="2" customFormat="1" ht="14.1" customHeight="1" spans="1:6">
      <c r="A732" s="7" t="str">
        <f>"2101702510"</f>
        <v>2101702510</v>
      </c>
      <c r="B732" s="7" t="str">
        <f t="shared" si="38"/>
        <v>2021017</v>
      </c>
      <c r="C732" s="7" t="str">
        <f t="shared" si="40"/>
        <v>025</v>
      </c>
      <c r="D732" s="7" t="str">
        <f>"10"</f>
        <v>10</v>
      </c>
      <c r="E732" s="8">
        <v>59.8</v>
      </c>
      <c r="F732" s="7" t="s">
        <v>7</v>
      </c>
    </row>
    <row r="733" s="2" customFormat="1" ht="14.1" customHeight="1" spans="1:6">
      <c r="A733" s="7" t="str">
        <f>"2101702511"</f>
        <v>2101702511</v>
      </c>
      <c r="B733" s="7" t="str">
        <f t="shared" si="38"/>
        <v>2021017</v>
      </c>
      <c r="C733" s="7" t="str">
        <f t="shared" si="40"/>
        <v>025</v>
      </c>
      <c r="D733" s="7" t="str">
        <f>"11"</f>
        <v>11</v>
      </c>
      <c r="E733" s="8">
        <v>51.9</v>
      </c>
      <c r="F733" s="7" t="s">
        <v>7</v>
      </c>
    </row>
    <row r="734" s="2" customFormat="1" ht="14.1" customHeight="1" spans="1:6">
      <c r="A734" s="7" t="str">
        <f>"2101702512"</f>
        <v>2101702512</v>
      </c>
      <c r="B734" s="7" t="str">
        <f t="shared" si="38"/>
        <v>2021017</v>
      </c>
      <c r="C734" s="7" t="str">
        <f t="shared" si="40"/>
        <v>025</v>
      </c>
      <c r="D734" s="7" t="str">
        <f>"12"</f>
        <v>12</v>
      </c>
      <c r="E734" s="8">
        <v>0</v>
      </c>
      <c r="F734" s="7" t="s">
        <v>8</v>
      </c>
    </row>
    <row r="735" s="2" customFormat="1" ht="14.1" customHeight="1" spans="1:6">
      <c r="A735" s="7" t="str">
        <f>"2101702513"</f>
        <v>2101702513</v>
      </c>
      <c r="B735" s="7" t="str">
        <f t="shared" si="38"/>
        <v>2021017</v>
      </c>
      <c r="C735" s="7" t="str">
        <f t="shared" si="40"/>
        <v>025</v>
      </c>
      <c r="D735" s="7" t="str">
        <f>"13"</f>
        <v>13</v>
      </c>
      <c r="E735" s="8">
        <v>0</v>
      </c>
      <c r="F735" s="7" t="s">
        <v>8</v>
      </c>
    </row>
    <row r="736" s="2" customFormat="1" ht="14.1" customHeight="1" spans="1:6">
      <c r="A736" s="7" t="str">
        <f>"2101702514"</f>
        <v>2101702514</v>
      </c>
      <c r="B736" s="7" t="str">
        <f t="shared" si="38"/>
        <v>2021017</v>
      </c>
      <c r="C736" s="7" t="str">
        <f t="shared" si="40"/>
        <v>025</v>
      </c>
      <c r="D736" s="7" t="str">
        <f>"14"</f>
        <v>14</v>
      </c>
      <c r="E736" s="8">
        <v>71.7</v>
      </c>
      <c r="F736" s="7" t="s">
        <v>7</v>
      </c>
    </row>
    <row r="737" s="2" customFormat="1" ht="14.1" customHeight="1" spans="1:6">
      <c r="A737" s="7" t="str">
        <f>"2101702515"</f>
        <v>2101702515</v>
      </c>
      <c r="B737" s="7" t="str">
        <f t="shared" si="38"/>
        <v>2021017</v>
      </c>
      <c r="C737" s="7" t="str">
        <f t="shared" si="40"/>
        <v>025</v>
      </c>
      <c r="D737" s="7" t="str">
        <f>"15"</f>
        <v>15</v>
      </c>
      <c r="E737" s="8">
        <v>0</v>
      </c>
      <c r="F737" s="7" t="s">
        <v>8</v>
      </c>
    </row>
    <row r="738" s="2" customFormat="1" ht="14.1" customHeight="1" spans="1:6">
      <c r="A738" s="7" t="str">
        <f>"2101702516"</f>
        <v>2101702516</v>
      </c>
      <c r="B738" s="7" t="str">
        <f t="shared" si="38"/>
        <v>2021017</v>
      </c>
      <c r="C738" s="7" t="str">
        <f t="shared" si="40"/>
        <v>025</v>
      </c>
      <c r="D738" s="7" t="str">
        <f>"16"</f>
        <v>16</v>
      </c>
      <c r="E738" s="8">
        <v>66.8</v>
      </c>
      <c r="F738" s="7" t="s">
        <v>7</v>
      </c>
    </row>
    <row r="739" s="2" customFormat="1" ht="14.1" customHeight="1" spans="1:6">
      <c r="A739" s="7" t="str">
        <f>"2101702517"</f>
        <v>2101702517</v>
      </c>
      <c r="B739" s="7" t="str">
        <f t="shared" si="38"/>
        <v>2021017</v>
      </c>
      <c r="C739" s="7" t="str">
        <f t="shared" si="40"/>
        <v>025</v>
      </c>
      <c r="D739" s="7" t="str">
        <f>"17"</f>
        <v>17</v>
      </c>
      <c r="E739" s="8">
        <v>60.4</v>
      </c>
      <c r="F739" s="7" t="s">
        <v>7</v>
      </c>
    </row>
    <row r="740" s="2" customFormat="1" ht="14.1" customHeight="1" spans="1:6">
      <c r="A740" s="7" t="str">
        <f>"2101702518"</f>
        <v>2101702518</v>
      </c>
      <c r="B740" s="7" t="str">
        <f t="shared" si="38"/>
        <v>2021017</v>
      </c>
      <c r="C740" s="7" t="str">
        <f t="shared" si="40"/>
        <v>025</v>
      </c>
      <c r="D740" s="7" t="str">
        <f>"18"</f>
        <v>18</v>
      </c>
      <c r="E740" s="8">
        <v>0</v>
      </c>
      <c r="F740" s="7" t="s">
        <v>8</v>
      </c>
    </row>
    <row r="741" s="2" customFormat="1" ht="14.1" customHeight="1" spans="1:6">
      <c r="A741" s="7" t="str">
        <f>"2101702519"</f>
        <v>2101702519</v>
      </c>
      <c r="B741" s="7" t="str">
        <f t="shared" si="38"/>
        <v>2021017</v>
      </c>
      <c r="C741" s="7" t="str">
        <f t="shared" si="40"/>
        <v>025</v>
      </c>
      <c r="D741" s="7" t="str">
        <f>"19"</f>
        <v>19</v>
      </c>
      <c r="E741" s="8">
        <v>0</v>
      </c>
      <c r="F741" s="7" t="s">
        <v>8</v>
      </c>
    </row>
    <row r="742" s="2" customFormat="1" ht="14.1" customHeight="1" spans="1:6">
      <c r="A742" s="7" t="str">
        <f>"2101702520"</f>
        <v>2101702520</v>
      </c>
      <c r="B742" s="7" t="str">
        <f t="shared" si="38"/>
        <v>2021017</v>
      </c>
      <c r="C742" s="7" t="str">
        <f t="shared" si="40"/>
        <v>025</v>
      </c>
      <c r="D742" s="7" t="str">
        <f>"20"</f>
        <v>20</v>
      </c>
      <c r="E742" s="8">
        <v>0</v>
      </c>
      <c r="F742" s="7" t="s">
        <v>8</v>
      </c>
    </row>
    <row r="743" s="2" customFormat="1" ht="14.1" customHeight="1" spans="1:6">
      <c r="A743" s="7" t="str">
        <f>"2101702521"</f>
        <v>2101702521</v>
      </c>
      <c r="B743" s="7" t="str">
        <f t="shared" si="38"/>
        <v>2021017</v>
      </c>
      <c r="C743" s="7" t="str">
        <f t="shared" si="40"/>
        <v>025</v>
      </c>
      <c r="D743" s="7" t="str">
        <f>"21"</f>
        <v>21</v>
      </c>
      <c r="E743" s="8">
        <v>66.8</v>
      </c>
      <c r="F743" s="7" t="s">
        <v>7</v>
      </c>
    </row>
    <row r="744" s="2" customFormat="1" ht="14.1" customHeight="1" spans="1:6">
      <c r="A744" s="7" t="str">
        <f>"2101702522"</f>
        <v>2101702522</v>
      </c>
      <c r="B744" s="7" t="str">
        <f t="shared" si="38"/>
        <v>2021017</v>
      </c>
      <c r="C744" s="7" t="str">
        <f t="shared" si="40"/>
        <v>025</v>
      </c>
      <c r="D744" s="7" t="str">
        <f>"22"</f>
        <v>22</v>
      </c>
      <c r="E744" s="8">
        <v>52.9</v>
      </c>
      <c r="F744" s="7" t="s">
        <v>7</v>
      </c>
    </row>
    <row r="745" s="2" customFormat="1" ht="14.1" customHeight="1" spans="1:6">
      <c r="A745" s="7" t="str">
        <f>"2101702523"</f>
        <v>2101702523</v>
      </c>
      <c r="B745" s="7" t="str">
        <f t="shared" si="38"/>
        <v>2021017</v>
      </c>
      <c r="C745" s="7" t="str">
        <f t="shared" si="40"/>
        <v>025</v>
      </c>
      <c r="D745" s="7" t="str">
        <f>"23"</f>
        <v>23</v>
      </c>
      <c r="E745" s="8">
        <v>0</v>
      </c>
      <c r="F745" s="7" t="s">
        <v>8</v>
      </c>
    </row>
    <row r="746" s="2" customFormat="1" ht="14.1" customHeight="1" spans="1:6">
      <c r="A746" s="7" t="str">
        <f>"2101702524"</f>
        <v>2101702524</v>
      </c>
      <c r="B746" s="7" t="str">
        <f t="shared" si="38"/>
        <v>2021017</v>
      </c>
      <c r="C746" s="7" t="str">
        <f t="shared" si="40"/>
        <v>025</v>
      </c>
      <c r="D746" s="7" t="str">
        <f>"24"</f>
        <v>24</v>
      </c>
      <c r="E746" s="8">
        <v>0</v>
      </c>
      <c r="F746" s="7" t="s">
        <v>8</v>
      </c>
    </row>
    <row r="747" s="2" customFormat="1" ht="14.1" customHeight="1" spans="1:6">
      <c r="A747" s="7" t="str">
        <f>"2101702525"</f>
        <v>2101702525</v>
      </c>
      <c r="B747" s="7" t="str">
        <f t="shared" si="38"/>
        <v>2021017</v>
      </c>
      <c r="C747" s="7" t="str">
        <f t="shared" si="40"/>
        <v>025</v>
      </c>
      <c r="D747" s="7" t="str">
        <f>"25"</f>
        <v>25</v>
      </c>
      <c r="E747" s="8">
        <v>0</v>
      </c>
      <c r="F747" s="7" t="s">
        <v>8</v>
      </c>
    </row>
    <row r="748" s="2" customFormat="1" ht="14.1" customHeight="1" spans="1:6">
      <c r="A748" s="7" t="str">
        <f>"2101702526"</f>
        <v>2101702526</v>
      </c>
      <c r="B748" s="7" t="str">
        <f t="shared" si="38"/>
        <v>2021017</v>
      </c>
      <c r="C748" s="7" t="str">
        <f t="shared" si="40"/>
        <v>025</v>
      </c>
      <c r="D748" s="7" t="str">
        <f>"26"</f>
        <v>26</v>
      </c>
      <c r="E748" s="8">
        <v>0</v>
      </c>
      <c r="F748" s="7" t="s">
        <v>8</v>
      </c>
    </row>
    <row r="749" s="2" customFormat="1" ht="14.1" customHeight="1" spans="1:6">
      <c r="A749" s="7" t="str">
        <f>"2101702527"</f>
        <v>2101702527</v>
      </c>
      <c r="B749" s="7" t="str">
        <f t="shared" si="38"/>
        <v>2021017</v>
      </c>
      <c r="C749" s="7" t="str">
        <f t="shared" si="40"/>
        <v>025</v>
      </c>
      <c r="D749" s="7" t="str">
        <f>"27"</f>
        <v>27</v>
      </c>
      <c r="E749" s="8">
        <v>0</v>
      </c>
      <c r="F749" s="7" t="s">
        <v>8</v>
      </c>
    </row>
    <row r="750" s="2" customFormat="1" ht="14.1" customHeight="1" spans="1:6">
      <c r="A750" s="7" t="str">
        <f>"2101702528"</f>
        <v>2101702528</v>
      </c>
      <c r="B750" s="7" t="str">
        <f t="shared" si="38"/>
        <v>2021017</v>
      </c>
      <c r="C750" s="7" t="str">
        <f t="shared" si="40"/>
        <v>025</v>
      </c>
      <c r="D750" s="7" t="str">
        <f>"28"</f>
        <v>28</v>
      </c>
      <c r="E750" s="8">
        <v>0</v>
      </c>
      <c r="F750" s="7" t="s">
        <v>8</v>
      </c>
    </row>
    <row r="751" s="2" customFormat="1" ht="14.1" customHeight="1" spans="1:6">
      <c r="A751" s="7" t="str">
        <f>"2101702529"</f>
        <v>2101702529</v>
      </c>
      <c r="B751" s="7" t="str">
        <f t="shared" si="38"/>
        <v>2021017</v>
      </c>
      <c r="C751" s="7" t="str">
        <f t="shared" si="40"/>
        <v>025</v>
      </c>
      <c r="D751" s="7" t="str">
        <f>"29"</f>
        <v>29</v>
      </c>
      <c r="E751" s="8">
        <v>66.1</v>
      </c>
      <c r="F751" s="7" t="s">
        <v>7</v>
      </c>
    </row>
    <row r="752" s="2" customFormat="1" ht="14.1" customHeight="1" spans="1:6">
      <c r="A752" s="7" t="str">
        <f>"2101702530"</f>
        <v>2101702530</v>
      </c>
      <c r="B752" s="7" t="str">
        <f t="shared" ref="B752:B815" si="41">"2021017"</f>
        <v>2021017</v>
      </c>
      <c r="C752" s="7" t="str">
        <f t="shared" si="40"/>
        <v>025</v>
      </c>
      <c r="D752" s="7" t="str">
        <f>"30"</f>
        <v>30</v>
      </c>
      <c r="E752" s="8">
        <v>65.2</v>
      </c>
      <c r="F752" s="7" t="s">
        <v>7</v>
      </c>
    </row>
    <row r="753" s="2" customFormat="1" ht="14.1" customHeight="1" spans="1:6">
      <c r="A753" s="7" t="str">
        <f>"2101702601"</f>
        <v>2101702601</v>
      </c>
      <c r="B753" s="7" t="str">
        <f t="shared" si="41"/>
        <v>2021017</v>
      </c>
      <c r="C753" s="7" t="str">
        <f t="shared" ref="C753:C782" si="42">"026"</f>
        <v>026</v>
      </c>
      <c r="D753" s="7" t="str">
        <f>"01"</f>
        <v>01</v>
      </c>
      <c r="E753" s="8">
        <v>0</v>
      </c>
      <c r="F753" s="7" t="s">
        <v>8</v>
      </c>
    </row>
    <row r="754" s="2" customFormat="1" ht="14.1" customHeight="1" spans="1:6">
      <c r="A754" s="7" t="str">
        <f>"2101702602"</f>
        <v>2101702602</v>
      </c>
      <c r="B754" s="7" t="str">
        <f t="shared" si="41"/>
        <v>2021017</v>
      </c>
      <c r="C754" s="7" t="str">
        <f t="shared" si="42"/>
        <v>026</v>
      </c>
      <c r="D754" s="7" t="str">
        <f>"02"</f>
        <v>02</v>
      </c>
      <c r="E754" s="8">
        <v>63.5</v>
      </c>
      <c r="F754" s="7" t="s">
        <v>7</v>
      </c>
    </row>
    <row r="755" s="2" customFormat="1" ht="14.1" customHeight="1" spans="1:6">
      <c r="A755" s="7" t="str">
        <f>"2101702603"</f>
        <v>2101702603</v>
      </c>
      <c r="B755" s="7" t="str">
        <f t="shared" si="41"/>
        <v>2021017</v>
      </c>
      <c r="C755" s="7" t="str">
        <f t="shared" si="42"/>
        <v>026</v>
      </c>
      <c r="D755" s="7" t="str">
        <f>"03"</f>
        <v>03</v>
      </c>
      <c r="E755" s="8">
        <v>68.5</v>
      </c>
      <c r="F755" s="7" t="s">
        <v>7</v>
      </c>
    </row>
    <row r="756" s="2" customFormat="1" ht="14.1" customHeight="1" spans="1:6">
      <c r="A756" s="7" t="str">
        <f>"2101702604"</f>
        <v>2101702604</v>
      </c>
      <c r="B756" s="7" t="str">
        <f t="shared" si="41"/>
        <v>2021017</v>
      </c>
      <c r="C756" s="7" t="str">
        <f t="shared" si="42"/>
        <v>026</v>
      </c>
      <c r="D756" s="7" t="str">
        <f>"04"</f>
        <v>04</v>
      </c>
      <c r="E756" s="8">
        <v>76</v>
      </c>
      <c r="F756" s="7" t="s">
        <v>7</v>
      </c>
    </row>
    <row r="757" s="2" customFormat="1" ht="14.1" customHeight="1" spans="1:6">
      <c r="A757" s="7" t="str">
        <f>"2101702605"</f>
        <v>2101702605</v>
      </c>
      <c r="B757" s="7" t="str">
        <f t="shared" si="41"/>
        <v>2021017</v>
      </c>
      <c r="C757" s="7" t="str">
        <f t="shared" si="42"/>
        <v>026</v>
      </c>
      <c r="D757" s="7" t="str">
        <f>"05"</f>
        <v>05</v>
      </c>
      <c r="E757" s="8">
        <v>60.4</v>
      </c>
      <c r="F757" s="7" t="s">
        <v>7</v>
      </c>
    </row>
    <row r="758" s="2" customFormat="1" ht="14.1" customHeight="1" spans="1:6">
      <c r="A758" s="7" t="str">
        <f>"2101702606"</f>
        <v>2101702606</v>
      </c>
      <c r="B758" s="7" t="str">
        <f t="shared" si="41"/>
        <v>2021017</v>
      </c>
      <c r="C758" s="7" t="str">
        <f t="shared" si="42"/>
        <v>026</v>
      </c>
      <c r="D758" s="7" t="str">
        <f>"06"</f>
        <v>06</v>
      </c>
      <c r="E758" s="8">
        <v>60.3</v>
      </c>
      <c r="F758" s="7" t="s">
        <v>7</v>
      </c>
    </row>
    <row r="759" s="2" customFormat="1" ht="14.1" customHeight="1" spans="1:6">
      <c r="A759" s="7" t="str">
        <f>"2101702607"</f>
        <v>2101702607</v>
      </c>
      <c r="B759" s="7" t="str">
        <f t="shared" si="41"/>
        <v>2021017</v>
      </c>
      <c r="C759" s="7" t="str">
        <f t="shared" si="42"/>
        <v>026</v>
      </c>
      <c r="D759" s="7" t="str">
        <f>"07"</f>
        <v>07</v>
      </c>
      <c r="E759" s="8">
        <v>62.7</v>
      </c>
      <c r="F759" s="7" t="s">
        <v>7</v>
      </c>
    </row>
    <row r="760" s="2" customFormat="1" ht="14.1" customHeight="1" spans="1:6">
      <c r="A760" s="7" t="str">
        <f>"2101702608"</f>
        <v>2101702608</v>
      </c>
      <c r="B760" s="7" t="str">
        <f t="shared" si="41"/>
        <v>2021017</v>
      </c>
      <c r="C760" s="7" t="str">
        <f t="shared" si="42"/>
        <v>026</v>
      </c>
      <c r="D760" s="7" t="str">
        <f>"08"</f>
        <v>08</v>
      </c>
      <c r="E760" s="8">
        <v>0</v>
      </c>
      <c r="F760" s="7" t="s">
        <v>8</v>
      </c>
    </row>
    <row r="761" s="2" customFormat="1" ht="14.1" customHeight="1" spans="1:6">
      <c r="A761" s="7" t="str">
        <f>"2101702609"</f>
        <v>2101702609</v>
      </c>
      <c r="B761" s="7" t="str">
        <f t="shared" si="41"/>
        <v>2021017</v>
      </c>
      <c r="C761" s="7" t="str">
        <f t="shared" si="42"/>
        <v>026</v>
      </c>
      <c r="D761" s="7" t="str">
        <f>"09"</f>
        <v>09</v>
      </c>
      <c r="E761" s="8">
        <v>0</v>
      </c>
      <c r="F761" s="7" t="s">
        <v>8</v>
      </c>
    </row>
    <row r="762" s="2" customFormat="1" ht="14.1" customHeight="1" spans="1:6">
      <c r="A762" s="7" t="str">
        <f>"2101702610"</f>
        <v>2101702610</v>
      </c>
      <c r="B762" s="7" t="str">
        <f t="shared" si="41"/>
        <v>2021017</v>
      </c>
      <c r="C762" s="7" t="str">
        <f t="shared" si="42"/>
        <v>026</v>
      </c>
      <c r="D762" s="7" t="str">
        <f>"10"</f>
        <v>10</v>
      </c>
      <c r="E762" s="8">
        <v>66.8</v>
      </c>
      <c r="F762" s="7" t="s">
        <v>7</v>
      </c>
    </row>
    <row r="763" s="2" customFormat="1" ht="14.1" customHeight="1" spans="1:6">
      <c r="A763" s="7" t="str">
        <f>"2101702611"</f>
        <v>2101702611</v>
      </c>
      <c r="B763" s="7" t="str">
        <f t="shared" si="41"/>
        <v>2021017</v>
      </c>
      <c r="C763" s="7" t="str">
        <f t="shared" si="42"/>
        <v>026</v>
      </c>
      <c r="D763" s="7" t="str">
        <f>"11"</f>
        <v>11</v>
      </c>
      <c r="E763" s="8">
        <v>0</v>
      </c>
      <c r="F763" s="7" t="s">
        <v>8</v>
      </c>
    </row>
    <row r="764" s="2" customFormat="1" ht="14.1" customHeight="1" spans="1:6">
      <c r="A764" s="7" t="str">
        <f>"2101702612"</f>
        <v>2101702612</v>
      </c>
      <c r="B764" s="7" t="str">
        <f t="shared" si="41"/>
        <v>2021017</v>
      </c>
      <c r="C764" s="7" t="str">
        <f t="shared" si="42"/>
        <v>026</v>
      </c>
      <c r="D764" s="7" t="str">
        <f>"12"</f>
        <v>12</v>
      </c>
      <c r="E764" s="8">
        <v>0</v>
      </c>
      <c r="F764" s="7" t="s">
        <v>8</v>
      </c>
    </row>
    <row r="765" s="2" customFormat="1" ht="14.1" customHeight="1" spans="1:6">
      <c r="A765" s="7" t="str">
        <f>"2101702613"</f>
        <v>2101702613</v>
      </c>
      <c r="B765" s="7" t="str">
        <f t="shared" si="41"/>
        <v>2021017</v>
      </c>
      <c r="C765" s="7" t="str">
        <f t="shared" si="42"/>
        <v>026</v>
      </c>
      <c r="D765" s="7" t="str">
        <f>"13"</f>
        <v>13</v>
      </c>
      <c r="E765" s="8">
        <v>74.5</v>
      </c>
      <c r="F765" s="7" t="s">
        <v>7</v>
      </c>
    </row>
    <row r="766" s="2" customFormat="1" ht="14.1" customHeight="1" spans="1:6">
      <c r="A766" s="7" t="str">
        <f>"2101702614"</f>
        <v>2101702614</v>
      </c>
      <c r="B766" s="7" t="str">
        <f t="shared" si="41"/>
        <v>2021017</v>
      </c>
      <c r="C766" s="7" t="str">
        <f t="shared" si="42"/>
        <v>026</v>
      </c>
      <c r="D766" s="7" t="str">
        <f>"14"</f>
        <v>14</v>
      </c>
      <c r="E766" s="8">
        <v>0</v>
      </c>
      <c r="F766" s="7" t="s">
        <v>8</v>
      </c>
    </row>
    <row r="767" s="2" customFormat="1" ht="14.1" customHeight="1" spans="1:6">
      <c r="A767" s="7" t="str">
        <f>"2101702615"</f>
        <v>2101702615</v>
      </c>
      <c r="B767" s="7" t="str">
        <f t="shared" si="41"/>
        <v>2021017</v>
      </c>
      <c r="C767" s="7" t="str">
        <f t="shared" si="42"/>
        <v>026</v>
      </c>
      <c r="D767" s="7" t="str">
        <f>"15"</f>
        <v>15</v>
      </c>
      <c r="E767" s="8">
        <v>0</v>
      </c>
      <c r="F767" s="7" t="s">
        <v>8</v>
      </c>
    </row>
    <row r="768" s="2" customFormat="1" ht="14.1" customHeight="1" spans="1:6">
      <c r="A768" s="7" t="str">
        <f>"2101702616"</f>
        <v>2101702616</v>
      </c>
      <c r="B768" s="7" t="str">
        <f t="shared" si="41"/>
        <v>2021017</v>
      </c>
      <c r="C768" s="7" t="str">
        <f t="shared" si="42"/>
        <v>026</v>
      </c>
      <c r="D768" s="7" t="str">
        <f>"16"</f>
        <v>16</v>
      </c>
      <c r="E768" s="8">
        <v>62</v>
      </c>
      <c r="F768" s="7" t="s">
        <v>7</v>
      </c>
    </row>
    <row r="769" s="2" customFormat="1" ht="14.1" customHeight="1" spans="1:6">
      <c r="A769" s="7" t="str">
        <f>"2101702617"</f>
        <v>2101702617</v>
      </c>
      <c r="B769" s="7" t="str">
        <f t="shared" si="41"/>
        <v>2021017</v>
      </c>
      <c r="C769" s="7" t="str">
        <f t="shared" si="42"/>
        <v>026</v>
      </c>
      <c r="D769" s="7" t="str">
        <f>"17"</f>
        <v>17</v>
      </c>
      <c r="E769" s="8">
        <v>0</v>
      </c>
      <c r="F769" s="7" t="s">
        <v>8</v>
      </c>
    </row>
    <row r="770" s="2" customFormat="1" ht="14.1" customHeight="1" spans="1:6">
      <c r="A770" s="7" t="str">
        <f>"2101702618"</f>
        <v>2101702618</v>
      </c>
      <c r="B770" s="7" t="str">
        <f t="shared" si="41"/>
        <v>2021017</v>
      </c>
      <c r="C770" s="7" t="str">
        <f t="shared" si="42"/>
        <v>026</v>
      </c>
      <c r="D770" s="7" t="str">
        <f>"18"</f>
        <v>18</v>
      </c>
      <c r="E770" s="8">
        <v>0</v>
      </c>
      <c r="F770" s="7" t="s">
        <v>8</v>
      </c>
    </row>
    <row r="771" s="2" customFormat="1" ht="14.1" customHeight="1" spans="1:6">
      <c r="A771" s="7" t="str">
        <f>"2101702619"</f>
        <v>2101702619</v>
      </c>
      <c r="B771" s="7" t="str">
        <f t="shared" si="41"/>
        <v>2021017</v>
      </c>
      <c r="C771" s="7" t="str">
        <f t="shared" si="42"/>
        <v>026</v>
      </c>
      <c r="D771" s="7" t="str">
        <f>"19"</f>
        <v>19</v>
      </c>
      <c r="E771" s="8">
        <v>70.6</v>
      </c>
      <c r="F771" s="7" t="s">
        <v>7</v>
      </c>
    </row>
    <row r="772" s="2" customFormat="1" ht="14.1" customHeight="1" spans="1:6">
      <c r="A772" s="7" t="str">
        <f>"2101702620"</f>
        <v>2101702620</v>
      </c>
      <c r="B772" s="7" t="str">
        <f t="shared" si="41"/>
        <v>2021017</v>
      </c>
      <c r="C772" s="7" t="str">
        <f t="shared" si="42"/>
        <v>026</v>
      </c>
      <c r="D772" s="7" t="str">
        <f>"20"</f>
        <v>20</v>
      </c>
      <c r="E772" s="8">
        <v>58.9</v>
      </c>
      <c r="F772" s="7" t="s">
        <v>7</v>
      </c>
    </row>
    <row r="773" s="2" customFormat="1" ht="14.1" customHeight="1" spans="1:6">
      <c r="A773" s="7" t="str">
        <f>"2101702621"</f>
        <v>2101702621</v>
      </c>
      <c r="B773" s="7" t="str">
        <f t="shared" si="41"/>
        <v>2021017</v>
      </c>
      <c r="C773" s="7" t="str">
        <f t="shared" si="42"/>
        <v>026</v>
      </c>
      <c r="D773" s="7" t="str">
        <f>"21"</f>
        <v>21</v>
      </c>
      <c r="E773" s="8">
        <v>0</v>
      </c>
      <c r="F773" s="7" t="s">
        <v>8</v>
      </c>
    </row>
    <row r="774" s="2" customFormat="1" ht="14.1" customHeight="1" spans="1:6">
      <c r="A774" s="7" t="str">
        <f>"2101702622"</f>
        <v>2101702622</v>
      </c>
      <c r="B774" s="7" t="str">
        <f t="shared" si="41"/>
        <v>2021017</v>
      </c>
      <c r="C774" s="7" t="str">
        <f t="shared" si="42"/>
        <v>026</v>
      </c>
      <c r="D774" s="7" t="str">
        <f>"22"</f>
        <v>22</v>
      </c>
      <c r="E774" s="8">
        <v>0</v>
      </c>
      <c r="F774" s="7" t="s">
        <v>8</v>
      </c>
    </row>
    <row r="775" s="2" customFormat="1" ht="14.1" customHeight="1" spans="1:6">
      <c r="A775" s="7" t="str">
        <f>"2101702623"</f>
        <v>2101702623</v>
      </c>
      <c r="B775" s="7" t="str">
        <f t="shared" si="41"/>
        <v>2021017</v>
      </c>
      <c r="C775" s="7" t="str">
        <f t="shared" si="42"/>
        <v>026</v>
      </c>
      <c r="D775" s="7" t="str">
        <f>"23"</f>
        <v>23</v>
      </c>
      <c r="E775" s="8">
        <v>0</v>
      </c>
      <c r="F775" s="7" t="s">
        <v>8</v>
      </c>
    </row>
    <row r="776" s="2" customFormat="1" ht="14.1" customHeight="1" spans="1:6">
      <c r="A776" s="7" t="str">
        <f>"2101702624"</f>
        <v>2101702624</v>
      </c>
      <c r="B776" s="7" t="str">
        <f t="shared" si="41"/>
        <v>2021017</v>
      </c>
      <c r="C776" s="7" t="str">
        <f t="shared" si="42"/>
        <v>026</v>
      </c>
      <c r="D776" s="7" t="str">
        <f>"24"</f>
        <v>24</v>
      </c>
      <c r="E776" s="8">
        <v>59.4</v>
      </c>
      <c r="F776" s="7" t="s">
        <v>7</v>
      </c>
    </row>
    <row r="777" s="2" customFormat="1" ht="14.1" customHeight="1" spans="1:6">
      <c r="A777" s="7" t="str">
        <f>"2101702625"</f>
        <v>2101702625</v>
      </c>
      <c r="B777" s="7" t="str">
        <f t="shared" si="41"/>
        <v>2021017</v>
      </c>
      <c r="C777" s="7" t="str">
        <f t="shared" si="42"/>
        <v>026</v>
      </c>
      <c r="D777" s="7" t="str">
        <f>"25"</f>
        <v>25</v>
      </c>
      <c r="E777" s="8">
        <v>71.2</v>
      </c>
      <c r="F777" s="7" t="s">
        <v>7</v>
      </c>
    </row>
    <row r="778" s="2" customFormat="1" ht="14.1" customHeight="1" spans="1:6">
      <c r="A778" s="7" t="str">
        <f>"2101702626"</f>
        <v>2101702626</v>
      </c>
      <c r="B778" s="7" t="str">
        <f t="shared" si="41"/>
        <v>2021017</v>
      </c>
      <c r="C778" s="7" t="str">
        <f t="shared" si="42"/>
        <v>026</v>
      </c>
      <c r="D778" s="7" t="str">
        <f>"26"</f>
        <v>26</v>
      </c>
      <c r="E778" s="8">
        <v>0</v>
      </c>
      <c r="F778" s="7" t="s">
        <v>8</v>
      </c>
    </row>
    <row r="779" s="2" customFormat="1" ht="14.1" customHeight="1" spans="1:6">
      <c r="A779" s="7" t="str">
        <f>"2101702627"</f>
        <v>2101702627</v>
      </c>
      <c r="B779" s="7" t="str">
        <f t="shared" si="41"/>
        <v>2021017</v>
      </c>
      <c r="C779" s="7" t="str">
        <f t="shared" si="42"/>
        <v>026</v>
      </c>
      <c r="D779" s="7" t="str">
        <f>"27"</f>
        <v>27</v>
      </c>
      <c r="E779" s="8">
        <v>0</v>
      </c>
      <c r="F779" s="7" t="s">
        <v>8</v>
      </c>
    </row>
    <row r="780" s="2" customFormat="1" ht="14.1" customHeight="1" spans="1:6">
      <c r="A780" s="7" t="str">
        <f>"2101702628"</f>
        <v>2101702628</v>
      </c>
      <c r="B780" s="7" t="str">
        <f t="shared" si="41"/>
        <v>2021017</v>
      </c>
      <c r="C780" s="7" t="str">
        <f t="shared" si="42"/>
        <v>026</v>
      </c>
      <c r="D780" s="7" t="str">
        <f>"28"</f>
        <v>28</v>
      </c>
      <c r="E780" s="8">
        <v>0</v>
      </c>
      <c r="F780" s="7" t="s">
        <v>8</v>
      </c>
    </row>
    <row r="781" s="2" customFormat="1" ht="14.1" customHeight="1" spans="1:6">
      <c r="A781" s="7" t="str">
        <f>"2101702629"</f>
        <v>2101702629</v>
      </c>
      <c r="B781" s="7" t="str">
        <f t="shared" si="41"/>
        <v>2021017</v>
      </c>
      <c r="C781" s="7" t="str">
        <f t="shared" si="42"/>
        <v>026</v>
      </c>
      <c r="D781" s="7" t="str">
        <f>"29"</f>
        <v>29</v>
      </c>
      <c r="E781" s="8">
        <v>58.7</v>
      </c>
      <c r="F781" s="7" t="s">
        <v>7</v>
      </c>
    </row>
    <row r="782" s="2" customFormat="1" ht="14.1" customHeight="1" spans="1:6">
      <c r="A782" s="7" t="str">
        <f>"2101702630"</f>
        <v>2101702630</v>
      </c>
      <c r="B782" s="7" t="str">
        <f t="shared" si="41"/>
        <v>2021017</v>
      </c>
      <c r="C782" s="7" t="str">
        <f t="shared" si="42"/>
        <v>026</v>
      </c>
      <c r="D782" s="7" t="str">
        <f>"30"</f>
        <v>30</v>
      </c>
      <c r="E782" s="8">
        <v>0</v>
      </c>
      <c r="F782" s="7" t="s">
        <v>8</v>
      </c>
    </row>
    <row r="783" s="2" customFormat="1" ht="14.1" customHeight="1" spans="1:6">
      <c r="A783" s="7" t="str">
        <f>"2101702701"</f>
        <v>2101702701</v>
      </c>
      <c r="B783" s="7" t="str">
        <f t="shared" si="41"/>
        <v>2021017</v>
      </c>
      <c r="C783" s="7" t="str">
        <f t="shared" ref="C783:C812" si="43">"027"</f>
        <v>027</v>
      </c>
      <c r="D783" s="7" t="str">
        <f>"01"</f>
        <v>01</v>
      </c>
      <c r="E783" s="8">
        <v>67</v>
      </c>
      <c r="F783" s="7" t="s">
        <v>7</v>
      </c>
    </row>
    <row r="784" s="2" customFormat="1" ht="14.1" customHeight="1" spans="1:6">
      <c r="A784" s="7" t="str">
        <f>"2101702702"</f>
        <v>2101702702</v>
      </c>
      <c r="B784" s="7" t="str">
        <f t="shared" si="41"/>
        <v>2021017</v>
      </c>
      <c r="C784" s="7" t="str">
        <f t="shared" si="43"/>
        <v>027</v>
      </c>
      <c r="D784" s="7" t="str">
        <f>"02"</f>
        <v>02</v>
      </c>
      <c r="E784" s="8">
        <v>0</v>
      </c>
      <c r="F784" s="7" t="s">
        <v>8</v>
      </c>
    </row>
    <row r="785" s="2" customFormat="1" ht="14.1" customHeight="1" spans="1:6">
      <c r="A785" s="7" t="str">
        <f>"2101702703"</f>
        <v>2101702703</v>
      </c>
      <c r="B785" s="7" t="str">
        <f t="shared" si="41"/>
        <v>2021017</v>
      </c>
      <c r="C785" s="7" t="str">
        <f t="shared" si="43"/>
        <v>027</v>
      </c>
      <c r="D785" s="7" t="str">
        <f>"03"</f>
        <v>03</v>
      </c>
      <c r="E785" s="8">
        <v>57.1</v>
      </c>
      <c r="F785" s="7" t="s">
        <v>7</v>
      </c>
    </row>
    <row r="786" s="2" customFormat="1" ht="14.1" customHeight="1" spans="1:6">
      <c r="A786" s="7" t="str">
        <f>"2101702704"</f>
        <v>2101702704</v>
      </c>
      <c r="B786" s="7" t="str">
        <f t="shared" si="41"/>
        <v>2021017</v>
      </c>
      <c r="C786" s="7" t="str">
        <f t="shared" si="43"/>
        <v>027</v>
      </c>
      <c r="D786" s="7" t="str">
        <f>"04"</f>
        <v>04</v>
      </c>
      <c r="E786" s="8">
        <v>49.5</v>
      </c>
      <c r="F786" s="7" t="s">
        <v>7</v>
      </c>
    </row>
    <row r="787" s="2" customFormat="1" ht="14.1" customHeight="1" spans="1:6">
      <c r="A787" s="7" t="str">
        <f>"2101702705"</f>
        <v>2101702705</v>
      </c>
      <c r="B787" s="7" t="str">
        <f t="shared" si="41"/>
        <v>2021017</v>
      </c>
      <c r="C787" s="7" t="str">
        <f t="shared" si="43"/>
        <v>027</v>
      </c>
      <c r="D787" s="7" t="str">
        <f>"05"</f>
        <v>05</v>
      </c>
      <c r="E787" s="8">
        <v>69.6</v>
      </c>
      <c r="F787" s="7" t="s">
        <v>7</v>
      </c>
    </row>
    <row r="788" s="2" customFormat="1" ht="14.1" customHeight="1" spans="1:6">
      <c r="A788" s="7" t="str">
        <f>"2101702706"</f>
        <v>2101702706</v>
      </c>
      <c r="B788" s="7" t="str">
        <f t="shared" si="41"/>
        <v>2021017</v>
      </c>
      <c r="C788" s="7" t="str">
        <f t="shared" si="43"/>
        <v>027</v>
      </c>
      <c r="D788" s="7" t="str">
        <f>"06"</f>
        <v>06</v>
      </c>
      <c r="E788" s="8">
        <v>0</v>
      </c>
      <c r="F788" s="7" t="s">
        <v>8</v>
      </c>
    </row>
    <row r="789" s="2" customFormat="1" ht="14.1" customHeight="1" spans="1:6">
      <c r="A789" s="7" t="str">
        <f>"2101702707"</f>
        <v>2101702707</v>
      </c>
      <c r="B789" s="7" t="str">
        <f t="shared" si="41"/>
        <v>2021017</v>
      </c>
      <c r="C789" s="7" t="str">
        <f t="shared" si="43"/>
        <v>027</v>
      </c>
      <c r="D789" s="7" t="str">
        <f>"07"</f>
        <v>07</v>
      </c>
      <c r="E789" s="8">
        <v>63.4</v>
      </c>
      <c r="F789" s="7" t="s">
        <v>7</v>
      </c>
    </row>
    <row r="790" s="2" customFormat="1" ht="14.1" customHeight="1" spans="1:6">
      <c r="A790" s="7" t="str">
        <f>"2101702708"</f>
        <v>2101702708</v>
      </c>
      <c r="B790" s="7" t="str">
        <f t="shared" si="41"/>
        <v>2021017</v>
      </c>
      <c r="C790" s="7" t="str">
        <f t="shared" si="43"/>
        <v>027</v>
      </c>
      <c r="D790" s="7" t="str">
        <f>"08"</f>
        <v>08</v>
      </c>
      <c r="E790" s="8">
        <v>0</v>
      </c>
      <c r="F790" s="7" t="s">
        <v>8</v>
      </c>
    </row>
    <row r="791" s="2" customFormat="1" ht="14.1" customHeight="1" spans="1:6">
      <c r="A791" s="7" t="str">
        <f>"2101702709"</f>
        <v>2101702709</v>
      </c>
      <c r="B791" s="7" t="str">
        <f t="shared" si="41"/>
        <v>2021017</v>
      </c>
      <c r="C791" s="7" t="str">
        <f t="shared" si="43"/>
        <v>027</v>
      </c>
      <c r="D791" s="7" t="str">
        <f>"09"</f>
        <v>09</v>
      </c>
      <c r="E791" s="8">
        <v>61.9</v>
      </c>
      <c r="F791" s="7" t="s">
        <v>7</v>
      </c>
    </row>
    <row r="792" s="2" customFormat="1" ht="14.1" customHeight="1" spans="1:6">
      <c r="A792" s="7" t="str">
        <f>"2101702710"</f>
        <v>2101702710</v>
      </c>
      <c r="B792" s="7" t="str">
        <f t="shared" si="41"/>
        <v>2021017</v>
      </c>
      <c r="C792" s="7" t="str">
        <f t="shared" si="43"/>
        <v>027</v>
      </c>
      <c r="D792" s="7" t="str">
        <f>"10"</f>
        <v>10</v>
      </c>
      <c r="E792" s="8">
        <v>0</v>
      </c>
      <c r="F792" s="7" t="s">
        <v>8</v>
      </c>
    </row>
    <row r="793" s="2" customFormat="1" ht="14.1" customHeight="1" spans="1:6">
      <c r="A793" s="7" t="str">
        <f>"2101702711"</f>
        <v>2101702711</v>
      </c>
      <c r="B793" s="7" t="str">
        <f t="shared" si="41"/>
        <v>2021017</v>
      </c>
      <c r="C793" s="7" t="str">
        <f t="shared" si="43"/>
        <v>027</v>
      </c>
      <c r="D793" s="7" t="str">
        <f>"11"</f>
        <v>11</v>
      </c>
      <c r="E793" s="8">
        <v>62.2</v>
      </c>
      <c r="F793" s="7" t="s">
        <v>7</v>
      </c>
    </row>
    <row r="794" s="2" customFormat="1" ht="14.1" customHeight="1" spans="1:6">
      <c r="A794" s="7" t="str">
        <f>"2101702712"</f>
        <v>2101702712</v>
      </c>
      <c r="B794" s="7" t="str">
        <f t="shared" si="41"/>
        <v>2021017</v>
      </c>
      <c r="C794" s="7" t="str">
        <f t="shared" si="43"/>
        <v>027</v>
      </c>
      <c r="D794" s="7" t="str">
        <f>"12"</f>
        <v>12</v>
      </c>
      <c r="E794" s="8">
        <v>0</v>
      </c>
      <c r="F794" s="7" t="s">
        <v>8</v>
      </c>
    </row>
    <row r="795" s="2" customFormat="1" ht="14.1" customHeight="1" spans="1:6">
      <c r="A795" s="7" t="str">
        <f>"2101702713"</f>
        <v>2101702713</v>
      </c>
      <c r="B795" s="7" t="str">
        <f t="shared" si="41"/>
        <v>2021017</v>
      </c>
      <c r="C795" s="7" t="str">
        <f t="shared" si="43"/>
        <v>027</v>
      </c>
      <c r="D795" s="7" t="str">
        <f>"13"</f>
        <v>13</v>
      </c>
      <c r="E795" s="8">
        <v>71.2</v>
      </c>
      <c r="F795" s="7" t="s">
        <v>7</v>
      </c>
    </row>
    <row r="796" s="2" customFormat="1" ht="14.1" customHeight="1" spans="1:6">
      <c r="A796" s="7" t="str">
        <f>"2101702714"</f>
        <v>2101702714</v>
      </c>
      <c r="B796" s="7" t="str">
        <f t="shared" si="41"/>
        <v>2021017</v>
      </c>
      <c r="C796" s="7" t="str">
        <f t="shared" si="43"/>
        <v>027</v>
      </c>
      <c r="D796" s="7" t="str">
        <f>"14"</f>
        <v>14</v>
      </c>
      <c r="E796" s="8">
        <v>0</v>
      </c>
      <c r="F796" s="7" t="s">
        <v>8</v>
      </c>
    </row>
    <row r="797" s="2" customFormat="1" ht="14.1" customHeight="1" spans="1:6">
      <c r="A797" s="7" t="str">
        <f>"2101702715"</f>
        <v>2101702715</v>
      </c>
      <c r="B797" s="7" t="str">
        <f t="shared" si="41"/>
        <v>2021017</v>
      </c>
      <c r="C797" s="7" t="str">
        <f t="shared" si="43"/>
        <v>027</v>
      </c>
      <c r="D797" s="7" t="str">
        <f>"15"</f>
        <v>15</v>
      </c>
      <c r="E797" s="8">
        <v>0</v>
      </c>
      <c r="F797" s="7" t="s">
        <v>8</v>
      </c>
    </row>
    <row r="798" s="2" customFormat="1" ht="14.1" customHeight="1" spans="1:6">
      <c r="A798" s="7" t="str">
        <f>"2101702716"</f>
        <v>2101702716</v>
      </c>
      <c r="B798" s="7" t="str">
        <f t="shared" si="41"/>
        <v>2021017</v>
      </c>
      <c r="C798" s="7" t="str">
        <f t="shared" si="43"/>
        <v>027</v>
      </c>
      <c r="D798" s="7" t="str">
        <f>"16"</f>
        <v>16</v>
      </c>
      <c r="E798" s="8">
        <v>0</v>
      </c>
      <c r="F798" s="7" t="s">
        <v>8</v>
      </c>
    </row>
    <row r="799" s="2" customFormat="1" ht="14.1" customHeight="1" spans="1:6">
      <c r="A799" s="7" t="str">
        <f>"2101702717"</f>
        <v>2101702717</v>
      </c>
      <c r="B799" s="7" t="str">
        <f t="shared" si="41"/>
        <v>2021017</v>
      </c>
      <c r="C799" s="7" t="str">
        <f t="shared" si="43"/>
        <v>027</v>
      </c>
      <c r="D799" s="7" t="str">
        <f>"17"</f>
        <v>17</v>
      </c>
      <c r="E799" s="8">
        <v>64.9</v>
      </c>
      <c r="F799" s="7" t="s">
        <v>7</v>
      </c>
    </row>
    <row r="800" s="2" customFormat="1" ht="14.1" customHeight="1" spans="1:6">
      <c r="A800" s="7" t="str">
        <f>"2101702718"</f>
        <v>2101702718</v>
      </c>
      <c r="B800" s="7" t="str">
        <f t="shared" si="41"/>
        <v>2021017</v>
      </c>
      <c r="C800" s="7" t="str">
        <f t="shared" si="43"/>
        <v>027</v>
      </c>
      <c r="D800" s="7" t="str">
        <f>"18"</f>
        <v>18</v>
      </c>
      <c r="E800" s="8">
        <v>65.6</v>
      </c>
      <c r="F800" s="7" t="s">
        <v>7</v>
      </c>
    </row>
    <row r="801" s="2" customFormat="1" ht="14.1" customHeight="1" spans="1:6">
      <c r="A801" s="7" t="str">
        <f>"2101702719"</f>
        <v>2101702719</v>
      </c>
      <c r="B801" s="7" t="str">
        <f t="shared" si="41"/>
        <v>2021017</v>
      </c>
      <c r="C801" s="7" t="str">
        <f t="shared" si="43"/>
        <v>027</v>
      </c>
      <c r="D801" s="7" t="str">
        <f>"19"</f>
        <v>19</v>
      </c>
      <c r="E801" s="8">
        <v>62.3</v>
      </c>
      <c r="F801" s="7" t="s">
        <v>7</v>
      </c>
    </row>
    <row r="802" s="2" customFormat="1" ht="14.1" customHeight="1" spans="1:6">
      <c r="A802" s="7" t="str">
        <f>"2101702720"</f>
        <v>2101702720</v>
      </c>
      <c r="B802" s="7" t="str">
        <f t="shared" si="41"/>
        <v>2021017</v>
      </c>
      <c r="C802" s="7" t="str">
        <f t="shared" si="43"/>
        <v>027</v>
      </c>
      <c r="D802" s="7" t="str">
        <f>"20"</f>
        <v>20</v>
      </c>
      <c r="E802" s="8">
        <v>0</v>
      </c>
      <c r="F802" s="7" t="s">
        <v>8</v>
      </c>
    </row>
    <row r="803" s="2" customFormat="1" ht="14.1" customHeight="1" spans="1:6">
      <c r="A803" s="7" t="str">
        <f>"2101702721"</f>
        <v>2101702721</v>
      </c>
      <c r="B803" s="7" t="str">
        <f t="shared" si="41"/>
        <v>2021017</v>
      </c>
      <c r="C803" s="7" t="str">
        <f t="shared" si="43"/>
        <v>027</v>
      </c>
      <c r="D803" s="7" t="str">
        <f>"21"</f>
        <v>21</v>
      </c>
      <c r="E803" s="8">
        <v>60.6</v>
      </c>
      <c r="F803" s="7" t="s">
        <v>7</v>
      </c>
    </row>
    <row r="804" s="2" customFormat="1" ht="14.1" customHeight="1" spans="1:6">
      <c r="A804" s="7" t="str">
        <f>"2101702722"</f>
        <v>2101702722</v>
      </c>
      <c r="B804" s="7" t="str">
        <f t="shared" si="41"/>
        <v>2021017</v>
      </c>
      <c r="C804" s="7" t="str">
        <f t="shared" si="43"/>
        <v>027</v>
      </c>
      <c r="D804" s="7" t="str">
        <f>"22"</f>
        <v>22</v>
      </c>
      <c r="E804" s="8">
        <v>54.6</v>
      </c>
      <c r="F804" s="7" t="s">
        <v>7</v>
      </c>
    </row>
    <row r="805" s="2" customFormat="1" ht="14.1" customHeight="1" spans="1:6">
      <c r="A805" s="7" t="str">
        <f>"2101702723"</f>
        <v>2101702723</v>
      </c>
      <c r="B805" s="7" t="str">
        <f t="shared" si="41"/>
        <v>2021017</v>
      </c>
      <c r="C805" s="7" t="str">
        <f t="shared" si="43"/>
        <v>027</v>
      </c>
      <c r="D805" s="7" t="str">
        <f>"23"</f>
        <v>23</v>
      </c>
      <c r="E805" s="8">
        <v>60.5</v>
      </c>
      <c r="F805" s="7" t="s">
        <v>7</v>
      </c>
    </row>
    <row r="806" s="2" customFormat="1" ht="14.1" customHeight="1" spans="1:6">
      <c r="A806" s="7" t="str">
        <f>"2101702724"</f>
        <v>2101702724</v>
      </c>
      <c r="B806" s="7" t="str">
        <f t="shared" si="41"/>
        <v>2021017</v>
      </c>
      <c r="C806" s="7" t="str">
        <f t="shared" si="43"/>
        <v>027</v>
      </c>
      <c r="D806" s="7" t="str">
        <f>"24"</f>
        <v>24</v>
      </c>
      <c r="E806" s="8">
        <v>0</v>
      </c>
      <c r="F806" s="7" t="s">
        <v>8</v>
      </c>
    </row>
    <row r="807" s="2" customFormat="1" ht="14.1" customHeight="1" spans="1:6">
      <c r="A807" s="7" t="str">
        <f>"2101702725"</f>
        <v>2101702725</v>
      </c>
      <c r="B807" s="7" t="str">
        <f t="shared" si="41"/>
        <v>2021017</v>
      </c>
      <c r="C807" s="7" t="str">
        <f t="shared" si="43"/>
        <v>027</v>
      </c>
      <c r="D807" s="7" t="str">
        <f>"25"</f>
        <v>25</v>
      </c>
      <c r="E807" s="8">
        <v>0</v>
      </c>
      <c r="F807" s="7" t="s">
        <v>8</v>
      </c>
    </row>
    <row r="808" s="2" customFormat="1" ht="14.1" customHeight="1" spans="1:6">
      <c r="A808" s="7" t="str">
        <f>"2101702726"</f>
        <v>2101702726</v>
      </c>
      <c r="B808" s="7" t="str">
        <f t="shared" si="41"/>
        <v>2021017</v>
      </c>
      <c r="C808" s="7" t="str">
        <f t="shared" si="43"/>
        <v>027</v>
      </c>
      <c r="D808" s="7" t="str">
        <f>"26"</f>
        <v>26</v>
      </c>
      <c r="E808" s="8">
        <v>61.8</v>
      </c>
      <c r="F808" s="7" t="s">
        <v>7</v>
      </c>
    </row>
    <row r="809" s="2" customFormat="1" ht="14.1" customHeight="1" spans="1:6">
      <c r="A809" s="7" t="str">
        <f>"2101702727"</f>
        <v>2101702727</v>
      </c>
      <c r="B809" s="7" t="str">
        <f t="shared" si="41"/>
        <v>2021017</v>
      </c>
      <c r="C809" s="7" t="str">
        <f t="shared" si="43"/>
        <v>027</v>
      </c>
      <c r="D809" s="7" t="str">
        <f>"27"</f>
        <v>27</v>
      </c>
      <c r="E809" s="8">
        <v>0</v>
      </c>
      <c r="F809" s="7" t="s">
        <v>8</v>
      </c>
    </row>
    <row r="810" s="2" customFormat="1" ht="14.1" customHeight="1" spans="1:6">
      <c r="A810" s="7" t="str">
        <f>"2101702728"</f>
        <v>2101702728</v>
      </c>
      <c r="B810" s="7" t="str">
        <f t="shared" si="41"/>
        <v>2021017</v>
      </c>
      <c r="C810" s="7" t="str">
        <f t="shared" si="43"/>
        <v>027</v>
      </c>
      <c r="D810" s="7" t="str">
        <f>"28"</f>
        <v>28</v>
      </c>
      <c r="E810" s="8">
        <v>0</v>
      </c>
      <c r="F810" s="7" t="s">
        <v>8</v>
      </c>
    </row>
    <row r="811" s="2" customFormat="1" ht="14.1" customHeight="1" spans="1:6">
      <c r="A811" s="7" t="str">
        <f>"2101702729"</f>
        <v>2101702729</v>
      </c>
      <c r="B811" s="7" t="str">
        <f t="shared" si="41"/>
        <v>2021017</v>
      </c>
      <c r="C811" s="7" t="str">
        <f t="shared" si="43"/>
        <v>027</v>
      </c>
      <c r="D811" s="7" t="str">
        <f>"29"</f>
        <v>29</v>
      </c>
      <c r="E811" s="8">
        <v>0</v>
      </c>
      <c r="F811" s="7" t="s">
        <v>8</v>
      </c>
    </row>
    <row r="812" s="2" customFormat="1" ht="14.1" customHeight="1" spans="1:6">
      <c r="A812" s="7" t="str">
        <f>"2101702730"</f>
        <v>2101702730</v>
      </c>
      <c r="B812" s="7" t="str">
        <f t="shared" si="41"/>
        <v>2021017</v>
      </c>
      <c r="C812" s="7" t="str">
        <f t="shared" si="43"/>
        <v>027</v>
      </c>
      <c r="D812" s="7" t="str">
        <f>"30"</f>
        <v>30</v>
      </c>
      <c r="E812" s="8">
        <v>67.1</v>
      </c>
      <c r="F812" s="7" t="s">
        <v>7</v>
      </c>
    </row>
    <row r="813" s="2" customFormat="1" ht="14.1" customHeight="1" spans="1:6">
      <c r="A813" s="7" t="str">
        <f>"2101702801"</f>
        <v>2101702801</v>
      </c>
      <c r="B813" s="7" t="str">
        <f t="shared" si="41"/>
        <v>2021017</v>
      </c>
      <c r="C813" s="7" t="str">
        <f t="shared" ref="C813:C842" si="44">"028"</f>
        <v>028</v>
      </c>
      <c r="D813" s="7" t="str">
        <f>"01"</f>
        <v>01</v>
      </c>
      <c r="E813" s="8">
        <v>0</v>
      </c>
      <c r="F813" s="7" t="s">
        <v>8</v>
      </c>
    </row>
    <row r="814" s="2" customFormat="1" ht="14.1" customHeight="1" spans="1:6">
      <c r="A814" s="7" t="str">
        <f>"2101702802"</f>
        <v>2101702802</v>
      </c>
      <c r="B814" s="7" t="str">
        <f t="shared" si="41"/>
        <v>2021017</v>
      </c>
      <c r="C814" s="7" t="str">
        <f t="shared" si="44"/>
        <v>028</v>
      </c>
      <c r="D814" s="7" t="str">
        <f>"02"</f>
        <v>02</v>
      </c>
      <c r="E814" s="8">
        <v>0</v>
      </c>
      <c r="F814" s="7" t="s">
        <v>8</v>
      </c>
    </row>
    <row r="815" s="2" customFormat="1" ht="14.1" customHeight="1" spans="1:6">
      <c r="A815" s="7" t="str">
        <f>"2101702803"</f>
        <v>2101702803</v>
      </c>
      <c r="B815" s="7" t="str">
        <f t="shared" si="41"/>
        <v>2021017</v>
      </c>
      <c r="C815" s="7" t="str">
        <f t="shared" si="44"/>
        <v>028</v>
      </c>
      <c r="D815" s="7" t="str">
        <f>"03"</f>
        <v>03</v>
      </c>
      <c r="E815" s="8">
        <v>62.5</v>
      </c>
      <c r="F815" s="7" t="s">
        <v>7</v>
      </c>
    </row>
    <row r="816" s="2" customFormat="1" ht="14.1" customHeight="1" spans="1:6">
      <c r="A816" s="7" t="str">
        <f>"2101702804"</f>
        <v>2101702804</v>
      </c>
      <c r="B816" s="7" t="str">
        <f t="shared" ref="B816:B843" si="45">"2021017"</f>
        <v>2021017</v>
      </c>
      <c r="C816" s="7" t="str">
        <f t="shared" si="44"/>
        <v>028</v>
      </c>
      <c r="D816" s="7" t="str">
        <f>"04"</f>
        <v>04</v>
      </c>
      <c r="E816" s="8">
        <v>0</v>
      </c>
      <c r="F816" s="7" t="s">
        <v>8</v>
      </c>
    </row>
    <row r="817" s="2" customFormat="1" ht="14.1" customHeight="1" spans="1:6">
      <c r="A817" s="7" t="str">
        <f>"2101702805"</f>
        <v>2101702805</v>
      </c>
      <c r="B817" s="7" t="str">
        <f t="shared" si="45"/>
        <v>2021017</v>
      </c>
      <c r="C817" s="7" t="str">
        <f t="shared" si="44"/>
        <v>028</v>
      </c>
      <c r="D817" s="7" t="str">
        <f>"05"</f>
        <v>05</v>
      </c>
      <c r="E817" s="8">
        <v>0</v>
      </c>
      <c r="F817" s="7" t="s">
        <v>8</v>
      </c>
    </row>
    <row r="818" s="2" customFormat="1" ht="14.1" customHeight="1" spans="1:6">
      <c r="A818" s="7" t="str">
        <f>"2101702806"</f>
        <v>2101702806</v>
      </c>
      <c r="B818" s="7" t="str">
        <f t="shared" si="45"/>
        <v>2021017</v>
      </c>
      <c r="C818" s="7" t="str">
        <f t="shared" si="44"/>
        <v>028</v>
      </c>
      <c r="D818" s="7" t="str">
        <f>"06"</f>
        <v>06</v>
      </c>
      <c r="E818" s="8">
        <v>63.9</v>
      </c>
      <c r="F818" s="7" t="s">
        <v>7</v>
      </c>
    </row>
    <row r="819" s="2" customFormat="1" ht="14.1" customHeight="1" spans="1:6">
      <c r="A819" s="7" t="str">
        <f>"2101702807"</f>
        <v>2101702807</v>
      </c>
      <c r="B819" s="7" t="str">
        <f t="shared" si="45"/>
        <v>2021017</v>
      </c>
      <c r="C819" s="7" t="str">
        <f t="shared" si="44"/>
        <v>028</v>
      </c>
      <c r="D819" s="7" t="str">
        <f>"07"</f>
        <v>07</v>
      </c>
      <c r="E819" s="8">
        <v>0</v>
      </c>
      <c r="F819" s="7" t="s">
        <v>8</v>
      </c>
    </row>
    <row r="820" s="2" customFormat="1" ht="14.1" customHeight="1" spans="1:6">
      <c r="A820" s="7" t="str">
        <f>"2101702808"</f>
        <v>2101702808</v>
      </c>
      <c r="B820" s="7" t="str">
        <f t="shared" si="45"/>
        <v>2021017</v>
      </c>
      <c r="C820" s="7" t="str">
        <f t="shared" si="44"/>
        <v>028</v>
      </c>
      <c r="D820" s="7" t="str">
        <f>"08"</f>
        <v>08</v>
      </c>
      <c r="E820" s="8">
        <v>0</v>
      </c>
      <c r="F820" s="7" t="s">
        <v>8</v>
      </c>
    </row>
    <row r="821" s="2" customFormat="1" ht="14.1" customHeight="1" spans="1:6">
      <c r="A821" s="7" t="str">
        <f>"2101702809"</f>
        <v>2101702809</v>
      </c>
      <c r="B821" s="7" t="str">
        <f t="shared" si="45"/>
        <v>2021017</v>
      </c>
      <c r="C821" s="7" t="str">
        <f t="shared" si="44"/>
        <v>028</v>
      </c>
      <c r="D821" s="7" t="str">
        <f>"09"</f>
        <v>09</v>
      </c>
      <c r="E821" s="8">
        <v>71.3</v>
      </c>
      <c r="F821" s="7" t="s">
        <v>7</v>
      </c>
    </row>
    <row r="822" s="2" customFormat="1" ht="14.1" customHeight="1" spans="1:6">
      <c r="A822" s="7" t="str">
        <f>"2101702810"</f>
        <v>2101702810</v>
      </c>
      <c r="B822" s="7" t="str">
        <f t="shared" si="45"/>
        <v>2021017</v>
      </c>
      <c r="C822" s="7" t="str">
        <f t="shared" si="44"/>
        <v>028</v>
      </c>
      <c r="D822" s="7" t="str">
        <f>"10"</f>
        <v>10</v>
      </c>
      <c r="E822" s="8">
        <v>67.1</v>
      </c>
      <c r="F822" s="7" t="s">
        <v>7</v>
      </c>
    </row>
    <row r="823" s="2" customFormat="1" ht="14.1" customHeight="1" spans="1:6">
      <c r="A823" s="7" t="str">
        <f>"2101702811"</f>
        <v>2101702811</v>
      </c>
      <c r="B823" s="7" t="str">
        <f t="shared" si="45"/>
        <v>2021017</v>
      </c>
      <c r="C823" s="7" t="str">
        <f t="shared" si="44"/>
        <v>028</v>
      </c>
      <c r="D823" s="7" t="str">
        <f>"11"</f>
        <v>11</v>
      </c>
      <c r="E823" s="8">
        <v>63.9</v>
      </c>
      <c r="F823" s="7" t="s">
        <v>7</v>
      </c>
    </row>
    <row r="824" s="2" customFormat="1" ht="14.1" customHeight="1" spans="1:6">
      <c r="A824" s="7" t="str">
        <f>"2101702812"</f>
        <v>2101702812</v>
      </c>
      <c r="B824" s="7" t="str">
        <f t="shared" si="45"/>
        <v>2021017</v>
      </c>
      <c r="C824" s="7" t="str">
        <f t="shared" si="44"/>
        <v>028</v>
      </c>
      <c r="D824" s="7" t="str">
        <f>"12"</f>
        <v>12</v>
      </c>
      <c r="E824" s="8">
        <v>59.9</v>
      </c>
      <c r="F824" s="7" t="s">
        <v>7</v>
      </c>
    </row>
    <row r="825" s="2" customFormat="1" ht="14.1" customHeight="1" spans="1:6">
      <c r="A825" s="7" t="str">
        <f>"2101702813"</f>
        <v>2101702813</v>
      </c>
      <c r="B825" s="7" t="str">
        <f t="shared" si="45"/>
        <v>2021017</v>
      </c>
      <c r="C825" s="7" t="str">
        <f t="shared" si="44"/>
        <v>028</v>
      </c>
      <c r="D825" s="7" t="str">
        <f>"13"</f>
        <v>13</v>
      </c>
      <c r="E825" s="8">
        <v>69.5</v>
      </c>
      <c r="F825" s="7" t="s">
        <v>7</v>
      </c>
    </row>
    <row r="826" s="2" customFormat="1" ht="14.1" customHeight="1" spans="1:6">
      <c r="A826" s="7" t="str">
        <f>"2101702814"</f>
        <v>2101702814</v>
      </c>
      <c r="B826" s="7" t="str">
        <f t="shared" si="45"/>
        <v>2021017</v>
      </c>
      <c r="C826" s="7" t="str">
        <f t="shared" si="44"/>
        <v>028</v>
      </c>
      <c r="D826" s="7" t="str">
        <f>"14"</f>
        <v>14</v>
      </c>
      <c r="E826" s="8">
        <v>66.5</v>
      </c>
      <c r="F826" s="7" t="s">
        <v>7</v>
      </c>
    </row>
    <row r="827" s="2" customFormat="1" ht="14.1" customHeight="1" spans="1:6">
      <c r="A827" s="7" t="str">
        <f>"2101702815"</f>
        <v>2101702815</v>
      </c>
      <c r="B827" s="7" t="str">
        <f t="shared" si="45"/>
        <v>2021017</v>
      </c>
      <c r="C827" s="7" t="str">
        <f t="shared" si="44"/>
        <v>028</v>
      </c>
      <c r="D827" s="7" t="str">
        <f>"15"</f>
        <v>15</v>
      </c>
      <c r="E827" s="8">
        <v>0</v>
      </c>
      <c r="F827" s="7" t="s">
        <v>8</v>
      </c>
    </row>
    <row r="828" s="2" customFormat="1" ht="14.1" customHeight="1" spans="1:6">
      <c r="A828" s="7" t="str">
        <f>"2101702816"</f>
        <v>2101702816</v>
      </c>
      <c r="B828" s="7" t="str">
        <f t="shared" si="45"/>
        <v>2021017</v>
      </c>
      <c r="C828" s="7" t="str">
        <f t="shared" si="44"/>
        <v>028</v>
      </c>
      <c r="D828" s="7" t="str">
        <f>"16"</f>
        <v>16</v>
      </c>
      <c r="E828" s="8">
        <v>66.6</v>
      </c>
      <c r="F828" s="7" t="s">
        <v>7</v>
      </c>
    </row>
    <row r="829" s="2" customFormat="1" ht="14.1" customHeight="1" spans="1:6">
      <c r="A829" s="7" t="str">
        <f>"2101702817"</f>
        <v>2101702817</v>
      </c>
      <c r="B829" s="7" t="str">
        <f t="shared" si="45"/>
        <v>2021017</v>
      </c>
      <c r="C829" s="7" t="str">
        <f t="shared" si="44"/>
        <v>028</v>
      </c>
      <c r="D829" s="7" t="str">
        <f>"17"</f>
        <v>17</v>
      </c>
      <c r="E829" s="8">
        <v>0</v>
      </c>
      <c r="F829" s="7" t="s">
        <v>8</v>
      </c>
    </row>
    <row r="830" s="2" customFormat="1" ht="14.1" customHeight="1" spans="1:6">
      <c r="A830" s="7" t="str">
        <f>"2101702818"</f>
        <v>2101702818</v>
      </c>
      <c r="B830" s="7" t="str">
        <f t="shared" si="45"/>
        <v>2021017</v>
      </c>
      <c r="C830" s="7" t="str">
        <f t="shared" si="44"/>
        <v>028</v>
      </c>
      <c r="D830" s="7" t="str">
        <f>"18"</f>
        <v>18</v>
      </c>
      <c r="E830" s="8">
        <v>70</v>
      </c>
      <c r="F830" s="7" t="s">
        <v>7</v>
      </c>
    </row>
    <row r="831" s="2" customFormat="1" ht="14.1" customHeight="1" spans="1:6">
      <c r="A831" s="7" t="str">
        <f>"2101702819"</f>
        <v>2101702819</v>
      </c>
      <c r="B831" s="7" t="str">
        <f t="shared" si="45"/>
        <v>2021017</v>
      </c>
      <c r="C831" s="7" t="str">
        <f t="shared" si="44"/>
        <v>028</v>
      </c>
      <c r="D831" s="7" t="str">
        <f>"19"</f>
        <v>19</v>
      </c>
      <c r="E831" s="8">
        <v>60.9</v>
      </c>
      <c r="F831" s="7" t="s">
        <v>7</v>
      </c>
    </row>
    <row r="832" s="2" customFormat="1" ht="14.1" customHeight="1" spans="1:6">
      <c r="A832" s="7" t="str">
        <f>"2101702820"</f>
        <v>2101702820</v>
      </c>
      <c r="B832" s="7" t="str">
        <f t="shared" si="45"/>
        <v>2021017</v>
      </c>
      <c r="C832" s="7" t="str">
        <f t="shared" si="44"/>
        <v>028</v>
      </c>
      <c r="D832" s="7" t="str">
        <f>"20"</f>
        <v>20</v>
      </c>
      <c r="E832" s="8">
        <v>74.3</v>
      </c>
      <c r="F832" s="7" t="s">
        <v>7</v>
      </c>
    </row>
    <row r="833" s="2" customFormat="1" ht="14.1" customHeight="1" spans="1:6">
      <c r="A833" s="7" t="str">
        <f>"2101702821"</f>
        <v>2101702821</v>
      </c>
      <c r="B833" s="7" t="str">
        <f t="shared" si="45"/>
        <v>2021017</v>
      </c>
      <c r="C833" s="7" t="str">
        <f t="shared" si="44"/>
        <v>028</v>
      </c>
      <c r="D833" s="7" t="str">
        <f>"21"</f>
        <v>21</v>
      </c>
      <c r="E833" s="8">
        <v>61.4</v>
      </c>
      <c r="F833" s="7" t="s">
        <v>7</v>
      </c>
    </row>
    <row r="834" s="2" customFormat="1" ht="14.1" customHeight="1" spans="1:6">
      <c r="A834" s="7" t="str">
        <f>"2101702822"</f>
        <v>2101702822</v>
      </c>
      <c r="B834" s="7" t="str">
        <f t="shared" si="45"/>
        <v>2021017</v>
      </c>
      <c r="C834" s="7" t="str">
        <f t="shared" si="44"/>
        <v>028</v>
      </c>
      <c r="D834" s="7" t="str">
        <f>"22"</f>
        <v>22</v>
      </c>
      <c r="E834" s="8">
        <v>61.8</v>
      </c>
      <c r="F834" s="7" t="s">
        <v>7</v>
      </c>
    </row>
    <row r="835" s="2" customFormat="1" ht="14.1" customHeight="1" spans="1:6">
      <c r="A835" s="7" t="str">
        <f>"2101702823"</f>
        <v>2101702823</v>
      </c>
      <c r="B835" s="7" t="str">
        <f t="shared" si="45"/>
        <v>2021017</v>
      </c>
      <c r="C835" s="7" t="str">
        <f t="shared" si="44"/>
        <v>028</v>
      </c>
      <c r="D835" s="7" t="str">
        <f>"23"</f>
        <v>23</v>
      </c>
      <c r="E835" s="8">
        <v>0</v>
      </c>
      <c r="F835" s="7" t="s">
        <v>8</v>
      </c>
    </row>
    <row r="836" s="2" customFormat="1" ht="14.1" customHeight="1" spans="1:6">
      <c r="A836" s="7" t="str">
        <f>"2101702824"</f>
        <v>2101702824</v>
      </c>
      <c r="B836" s="7" t="str">
        <f t="shared" si="45"/>
        <v>2021017</v>
      </c>
      <c r="C836" s="7" t="str">
        <f t="shared" si="44"/>
        <v>028</v>
      </c>
      <c r="D836" s="7" t="str">
        <f>"24"</f>
        <v>24</v>
      </c>
      <c r="E836" s="8">
        <v>0</v>
      </c>
      <c r="F836" s="7" t="s">
        <v>8</v>
      </c>
    </row>
    <row r="837" s="2" customFormat="1" ht="14.1" customHeight="1" spans="1:6">
      <c r="A837" s="7" t="str">
        <f>"2101702825"</f>
        <v>2101702825</v>
      </c>
      <c r="B837" s="7" t="str">
        <f t="shared" si="45"/>
        <v>2021017</v>
      </c>
      <c r="C837" s="7" t="str">
        <f t="shared" si="44"/>
        <v>028</v>
      </c>
      <c r="D837" s="7" t="str">
        <f>"25"</f>
        <v>25</v>
      </c>
      <c r="E837" s="8">
        <v>69.1</v>
      </c>
      <c r="F837" s="7" t="s">
        <v>7</v>
      </c>
    </row>
    <row r="838" s="2" customFormat="1" ht="14.1" customHeight="1" spans="1:6">
      <c r="A838" s="7" t="str">
        <f>"2101702826"</f>
        <v>2101702826</v>
      </c>
      <c r="B838" s="7" t="str">
        <f t="shared" si="45"/>
        <v>2021017</v>
      </c>
      <c r="C838" s="7" t="str">
        <f t="shared" si="44"/>
        <v>028</v>
      </c>
      <c r="D838" s="7" t="str">
        <f>"26"</f>
        <v>26</v>
      </c>
      <c r="E838" s="8">
        <v>0</v>
      </c>
      <c r="F838" s="7" t="s">
        <v>8</v>
      </c>
    </row>
    <row r="839" s="2" customFormat="1" ht="14.1" customHeight="1" spans="1:6">
      <c r="A839" s="7" t="str">
        <f>"2101702827"</f>
        <v>2101702827</v>
      </c>
      <c r="B839" s="7" t="str">
        <f t="shared" si="45"/>
        <v>2021017</v>
      </c>
      <c r="C839" s="7" t="str">
        <f t="shared" si="44"/>
        <v>028</v>
      </c>
      <c r="D839" s="7" t="str">
        <f>"27"</f>
        <v>27</v>
      </c>
      <c r="E839" s="8">
        <v>66</v>
      </c>
      <c r="F839" s="7" t="s">
        <v>7</v>
      </c>
    </row>
    <row r="840" s="2" customFormat="1" ht="14.1" customHeight="1" spans="1:6">
      <c r="A840" s="7" t="str">
        <f>"2101702828"</f>
        <v>2101702828</v>
      </c>
      <c r="B840" s="7" t="str">
        <f t="shared" si="45"/>
        <v>2021017</v>
      </c>
      <c r="C840" s="7" t="str">
        <f t="shared" si="44"/>
        <v>028</v>
      </c>
      <c r="D840" s="7" t="str">
        <f>"28"</f>
        <v>28</v>
      </c>
      <c r="E840" s="8">
        <v>0</v>
      </c>
      <c r="F840" s="7" t="s">
        <v>8</v>
      </c>
    </row>
    <row r="841" s="2" customFormat="1" ht="14.1" customHeight="1" spans="1:6">
      <c r="A841" s="7" t="str">
        <f>"2101702829"</f>
        <v>2101702829</v>
      </c>
      <c r="B841" s="7" t="str">
        <f t="shared" si="45"/>
        <v>2021017</v>
      </c>
      <c r="C841" s="7" t="str">
        <f t="shared" si="44"/>
        <v>028</v>
      </c>
      <c r="D841" s="7" t="str">
        <f>"29"</f>
        <v>29</v>
      </c>
      <c r="E841" s="8">
        <v>70.8</v>
      </c>
      <c r="F841" s="7" t="s">
        <v>7</v>
      </c>
    </row>
    <row r="842" s="2" customFormat="1" ht="14.1" customHeight="1" spans="1:6">
      <c r="A842" s="7" t="str">
        <f>"2101702830"</f>
        <v>2101702830</v>
      </c>
      <c r="B842" s="7" t="str">
        <f t="shared" si="45"/>
        <v>2021017</v>
      </c>
      <c r="C842" s="7" t="str">
        <f t="shared" si="44"/>
        <v>028</v>
      </c>
      <c r="D842" s="7" t="str">
        <f>"30"</f>
        <v>30</v>
      </c>
      <c r="E842" s="8">
        <v>0</v>
      </c>
      <c r="F842" s="7" t="s">
        <v>8</v>
      </c>
    </row>
    <row r="843" s="2" customFormat="1" ht="14.1" customHeight="1" spans="1:6">
      <c r="A843" s="7" t="str">
        <f>"2101702901"</f>
        <v>2101702901</v>
      </c>
      <c r="B843" s="7" t="str">
        <f t="shared" si="45"/>
        <v>2021017</v>
      </c>
      <c r="C843" s="7" t="str">
        <f t="shared" ref="C843:C872" si="46">"029"</f>
        <v>029</v>
      </c>
      <c r="D843" s="7" t="str">
        <f>"01"</f>
        <v>01</v>
      </c>
      <c r="E843" s="8">
        <v>62.1</v>
      </c>
      <c r="F843" s="7" t="s">
        <v>7</v>
      </c>
    </row>
    <row r="844" s="2" customFormat="1" ht="14.1" customHeight="1" spans="1:6">
      <c r="A844" s="7" t="str">
        <f>"2101802902"</f>
        <v>2101802902</v>
      </c>
      <c r="B844" s="7" t="str">
        <f t="shared" ref="B844:B852" si="47">"2021018"</f>
        <v>2021018</v>
      </c>
      <c r="C844" s="7" t="str">
        <f t="shared" si="46"/>
        <v>029</v>
      </c>
      <c r="D844" s="7" t="str">
        <f>"02"</f>
        <v>02</v>
      </c>
      <c r="E844" s="8">
        <v>63.5</v>
      </c>
      <c r="F844" s="7" t="s">
        <v>7</v>
      </c>
    </row>
    <row r="845" s="2" customFormat="1" ht="14.1" customHeight="1" spans="1:6">
      <c r="A845" s="7" t="str">
        <f>"2101802903"</f>
        <v>2101802903</v>
      </c>
      <c r="B845" s="7" t="str">
        <f t="shared" si="47"/>
        <v>2021018</v>
      </c>
      <c r="C845" s="7" t="str">
        <f t="shared" si="46"/>
        <v>029</v>
      </c>
      <c r="D845" s="7" t="str">
        <f>"03"</f>
        <v>03</v>
      </c>
      <c r="E845" s="8">
        <v>0</v>
      </c>
      <c r="F845" s="7" t="s">
        <v>8</v>
      </c>
    </row>
    <row r="846" s="2" customFormat="1" ht="14.1" customHeight="1" spans="1:6">
      <c r="A846" s="7" t="str">
        <f>"2101802904"</f>
        <v>2101802904</v>
      </c>
      <c r="B846" s="7" t="str">
        <f t="shared" si="47"/>
        <v>2021018</v>
      </c>
      <c r="C846" s="7" t="str">
        <f t="shared" si="46"/>
        <v>029</v>
      </c>
      <c r="D846" s="7" t="str">
        <f>"04"</f>
        <v>04</v>
      </c>
      <c r="E846" s="8">
        <v>58.3</v>
      </c>
      <c r="F846" s="7" t="s">
        <v>7</v>
      </c>
    </row>
    <row r="847" s="2" customFormat="1" ht="14.1" customHeight="1" spans="1:6">
      <c r="A847" s="7" t="str">
        <f>"2101802905"</f>
        <v>2101802905</v>
      </c>
      <c r="B847" s="7" t="str">
        <f t="shared" si="47"/>
        <v>2021018</v>
      </c>
      <c r="C847" s="7" t="str">
        <f t="shared" si="46"/>
        <v>029</v>
      </c>
      <c r="D847" s="7" t="str">
        <f>"05"</f>
        <v>05</v>
      </c>
      <c r="E847" s="8">
        <v>56.9</v>
      </c>
      <c r="F847" s="7" t="s">
        <v>7</v>
      </c>
    </row>
    <row r="848" s="2" customFormat="1" ht="14.1" customHeight="1" spans="1:6">
      <c r="A848" s="7" t="str">
        <f>"2101802906"</f>
        <v>2101802906</v>
      </c>
      <c r="B848" s="7" t="str">
        <f t="shared" si="47"/>
        <v>2021018</v>
      </c>
      <c r="C848" s="7" t="str">
        <f t="shared" si="46"/>
        <v>029</v>
      </c>
      <c r="D848" s="7" t="str">
        <f>"06"</f>
        <v>06</v>
      </c>
      <c r="E848" s="8">
        <v>0</v>
      </c>
      <c r="F848" s="7" t="s">
        <v>8</v>
      </c>
    </row>
    <row r="849" s="2" customFormat="1" ht="14.1" customHeight="1" spans="1:6">
      <c r="A849" s="7" t="str">
        <f>"2101802907"</f>
        <v>2101802907</v>
      </c>
      <c r="B849" s="7" t="str">
        <f t="shared" si="47"/>
        <v>2021018</v>
      </c>
      <c r="C849" s="7" t="str">
        <f t="shared" si="46"/>
        <v>029</v>
      </c>
      <c r="D849" s="7" t="str">
        <f>"07"</f>
        <v>07</v>
      </c>
      <c r="E849" s="8">
        <v>0</v>
      </c>
      <c r="F849" s="7" t="s">
        <v>8</v>
      </c>
    </row>
    <row r="850" s="2" customFormat="1" ht="14.1" customHeight="1" spans="1:6">
      <c r="A850" s="7" t="str">
        <f>"2101802908"</f>
        <v>2101802908</v>
      </c>
      <c r="B850" s="7" t="str">
        <f t="shared" si="47"/>
        <v>2021018</v>
      </c>
      <c r="C850" s="7" t="str">
        <f t="shared" si="46"/>
        <v>029</v>
      </c>
      <c r="D850" s="7" t="str">
        <f>"08"</f>
        <v>08</v>
      </c>
      <c r="E850" s="8">
        <v>56.9</v>
      </c>
      <c r="F850" s="7" t="s">
        <v>7</v>
      </c>
    </row>
    <row r="851" s="2" customFormat="1" ht="14.1" customHeight="1" spans="1:6">
      <c r="A851" s="7" t="str">
        <f>"2101802909"</f>
        <v>2101802909</v>
      </c>
      <c r="B851" s="7" t="str">
        <f t="shared" si="47"/>
        <v>2021018</v>
      </c>
      <c r="C851" s="7" t="str">
        <f t="shared" si="46"/>
        <v>029</v>
      </c>
      <c r="D851" s="7" t="str">
        <f>"09"</f>
        <v>09</v>
      </c>
      <c r="E851" s="8">
        <v>0</v>
      </c>
      <c r="F851" s="7" t="s">
        <v>8</v>
      </c>
    </row>
    <row r="852" s="2" customFormat="1" ht="14.1" customHeight="1" spans="1:6">
      <c r="A852" s="7" t="str">
        <f>"2101802910"</f>
        <v>2101802910</v>
      </c>
      <c r="B852" s="7" t="str">
        <f t="shared" si="47"/>
        <v>2021018</v>
      </c>
      <c r="C852" s="7" t="str">
        <f t="shared" si="46"/>
        <v>029</v>
      </c>
      <c r="D852" s="7" t="str">
        <f>"10"</f>
        <v>10</v>
      </c>
      <c r="E852" s="8">
        <v>0</v>
      </c>
      <c r="F852" s="7" t="s">
        <v>8</v>
      </c>
    </row>
    <row r="853" s="2" customFormat="1" ht="14.1" customHeight="1" spans="1:6">
      <c r="A853" s="7" t="str">
        <f>"2101902911"</f>
        <v>2101902911</v>
      </c>
      <c r="B853" s="7" t="str">
        <f t="shared" ref="B853:B899" si="48">"2021019"</f>
        <v>2021019</v>
      </c>
      <c r="C853" s="7" t="str">
        <f t="shared" si="46"/>
        <v>029</v>
      </c>
      <c r="D853" s="7" t="str">
        <f>"11"</f>
        <v>11</v>
      </c>
      <c r="E853" s="8">
        <v>57.6</v>
      </c>
      <c r="F853" s="7" t="s">
        <v>7</v>
      </c>
    </row>
    <row r="854" s="2" customFormat="1" ht="14.1" customHeight="1" spans="1:6">
      <c r="A854" s="7" t="str">
        <f>"2101902912"</f>
        <v>2101902912</v>
      </c>
      <c r="B854" s="7" t="str">
        <f t="shared" si="48"/>
        <v>2021019</v>
      </c>
      <c r="C854" s="7" t="str">
        <f t="shared" si="46"/>
        <v>029</v>
      </c>
      <c r="D854" s="7" t="str">
        <f>"12"</f>
        <v>12</v>
      </c>
      <c r="E854" s="8">
        <v>67.7</v>
      </c>
      <c r="F854" s="7" t="s">
        <v>7</v>
      </c>
    </row>
    <row r="855" s="2" customFormat="1" ht="14.1" customHeight="1" spans="1:6">
      <c r="A855" s="7" t="str">
        <f>"2101902913"</f>
        <v>2101902913</v>
      </c>
      <c r="B855" s="7" t="str">
        <f t="shared" si="48"/>
        <v>2021019</v>
      </c>
      <c r="C855" s="7" t="str">
        <f t="shared" si="46"/>
        <v>029</v>
      </c>
      <c r="D855" s="7" t="str">
        <f>"13"</f>
        <v>13</v>
      </c>
      <c r="E855" s="8">
        <v>0</v>
      </c>
      <c r="F855" s="7" t="s">
        <v>8</v>
      </c>
    </row>
    <row r="856" s="2" customFormat="1" ht="14.1" customHeight="1" spans="1:6">
      <c r="A856" s="7" t="str">
        <f>"2101902914"</f>
        <v>2101902914</v>
      </c>
      <c r="B856" s="7" t="str">
        <f t="shared" si="48"/>
        <v>2021019</v>
      </c>
      <c r="C856" s="7" t="str">
        <f t="shared" si="46"/>
        <v>029</v>
      </c>
      <c r="D856" s="7" t="str">
        <f>"14"</f>
        <v>14</v>
      </c>
      <c r="E856" s="8">
        <v>57.3</v>
      </c>
      <c r="F856" s="7" t="s">
        <v>7</v>
      </c>
    </row>
    <row r="857" s="2" customFormat="1" ht="14.1" customHeight="1" spans="1:6">
      <c r="A857" s="7" t="str">
        <f>"2101902915"</f>
        <v>2101902915</v>
      </c>
      <c r="B857" s="7" t="str">
        <f t="shared" si="48"/>
        <v>2021019</v>
      </c>
      <c r="C857" s="7" t="str">
        <f t="shared" si="46"/>
        <v>029</v>
      </c>
      <c r="D857" s="7" t="str">
        <f>"15"</f>
        <v>15</v>
      </c>
      <c r="E857" s="8">
        <v>66</v>
      </c>
      <c r="F857" s="7" t="s">
        <v>7</v>
      </c>
    </row>
    <row r="858" s="2" customFormat="1" ht="14.1" customHeight="1" spans="1:6">
      <c r="A858" s="7" t="str">
        <f>"2101902916"</f>
        <v>2101902916</v>
      </c>
      <c r="B858" s="7" t="str">
        <f t="shared" si="48"/>
        <v>2021019</v>
      </c>
      <c r="C858" s="7" t="str">
        <f t="shared" si="46"/>
        <v>029</v>
      </c>
      <c r="D858" s="7" t="str">
        <f>"16"</f>
        <v>16</v>
      </c>
      <c r="E858" s="8">
        <v>54.4</v>
      </c>
      <c r="F858" s="7" t="s">
        <v>7</v>
      </c>
    </row>
    <row r="859" s="2" customFormat="1" ht="14.1" customHeight="1" spans="1:6">
      <c r="A859" s="7" t="str">
        <f>"2101902917"</f>
        <v>2101902917</v>
      </c>
      <c r="B859" s="7" t="str">
        <f t="shared" si="48"/>
        <v>2021019</v>
      </c>
      <c r="C859" s="7" t="str">
        <f t="shared" si="46"/>
        <v>029</v>
      </c>
      <c r="D859" s="7" t="str">
        <f>"17"</f>
        <v>17</v>
      </c>
      <c r="E859" s="8">
        <v>50.6</v>
      </c>
      <c r="F859" s="7" t="s">
        <v>7</v>
      </c>
    </row>
    <row r="860" s="2" customFormat="1" ht="14.1" customHeight="1" spans="1:6">
      <c r="A860" s="7" t="str">
        <f>"2101902918"</f>
        <v>2101902918</v>
      </c>
      <c r="B860" s="7" t="str">
        <f t="shared" si="48"/>
        <v>2021019</v>
      </c>
      <c r="C860" s="7" t="str">
        <f t="shared" si="46"/>
        <v>029</v>
      </c>
      <c r="D860" s="7" t="str">
        <f>"18"</f>
        <v>18</v>
      </c>
      <c r="E860" s="8">
        <v>0</v>
      </c>
      <c r="F860" s="7" t="s">
        <v>8</v>
      </c>
    </row>
    <row r="861" s="2" customFormat="1" ht="14.1" customHeight="1" spans="1:6">
      <c r="A861" s="7" t="str">
        <f>"2101902919"</f>
        <v>2101902919</v>
      </c>
      <c r="B861" s="7" t="str">
        <f t="shared" si="48"/>
        <v>2021019</v>
      </c>
      <c r="C861" s="7" t="str">
        <f t="shared" si="46"/>
        <v>029</v>
      </c>
      <c r="D861" s="7" t="str">
        <f>"19"</f>
        <v>19</v>
      </c>
      <c r="E861" s="8">
        <v>0</v>
      </c>
      <c r="F861" s="7" t="s">
        <v>8</v>
      </c>
    </row>
    <row r="862" s="2" customFormat="1" ht="14.1" customHeight="1" spans="1:6">
      <c r="A862" s="7" t="str">
        <f>"2101902920"</f>
        <v>2101902920</v>
      </c>
      <c r="B862" s="7" t="str">
        <f t="shared" si="48"/>
        <v>2021019</v>
      </c>
      <c r="C862" s="7" t="str">
        <f t="shared" si="46"/>
        <v>029</v>
      </c>
      <c r="D862" s="7" t="str">
        <f>"20"</f>
        <v>20</v>
      </c>
      <c r="E862" s="8">
        <v>0</v>
      </c>
      <c r="F862" s="7" t="s">
        <v>8</v>
      </c>
    </row>
    <row r="863" s="2" customFormat="1" ht="14.1" customHeight="1" spans="1:6">
      <c r="A863" s="7" t="str">
        <f>"2101902921"</f>
        <v>2101902921</v>
      </c>
      <c r="B863" s="7" t="str">
        <f t="shared" si="48"/>
        <v>2021019</v>
      </c>
      <c r="C863" s="7" t="str">
        <f t="shared" si="46"/>
        <v>029</v>
      </c>
      <c r="D863" s="7" t="str">
        <f>"21"</f>
        <v>21</v>
      </c>
      <c r="E863" s="8">
        <v>50.7</v>
      </c>
      <c r="F863" s="7" t="s">
        <v>7</v>
      </c>
    </row>
    <row r="864" s="2" customFormat="1" ht="14.1" customHeight="1" spans="1:6">
      <c r="A864" s="7" t="str">
        <f>"2101902922"</f>
        <v>2101902922</v>
      </c>
      <c r="B864" s="7" t="str">
        <f t="shared" si="48"/>
        <v>2021019</v>
      </c>
      <c r="C864" s="7" t="str">
        <f t="shared" si="46"/>
        <v>029</v>
      </c>
      <c r="D864" s="7" t="str">
        <f>"22"</f>
        <v>22</v>
      </c>
      <c r="E864" s="8">
        <v>56.3</v>
      </c>
      <c r="F864" s="7" t="s">
        <v>7</v>
      </c>
    </row>
    <row r="865" s="2" customFormat="1" ht="14.1" customHeight="1" spans="1:6">
      <c r="A865" s="7" t="str">
        <f>"2101902923"</f>
        <v>2101902923</v>
      </c>
      <c r="B865" s="7" t="str">
        <f t="shared" si="48"/>
        <v>2021019</v>
      </c>
      <c r="C865" s="7" t="str">
        <f t="shared" si="46"/>
        <v>029</v>
      </c>
      <c r="D865" s="7" t="str">
        <f>"23"</f>
        <v>23</v>
      </c>
      <c r="E865" s="8">
        <v>67.5</v>
      </c>
      <c r="F865" s="7" t="s">
        <v>7</v>
      </c>
    </row>
    <row r="866" s="2" customFormat="1" ht="14.1" customHeight="1" spans="1:6">
      <c r="A866" s="7" t="str">
        <f>"2101902924"</f>
        <v>2101902924</v>
      </c>
      <c r="B866" s="7" t="str">
        <f t="shared" si="48"/>
        <v>2021019</v>
      </c>
      <c r="C866" s="7" t="str">
        <f t="shared" si="46"/>
        <v>029</v>
      </c>
      <c r="D866" s="7" t="str">
        <f>"24"</f>
        <v>24</v>
      </c>
      <c r="E866" s="8">
        <v>0</v>
      </c>
      <c r="F866" s="7" t="s">
        <v>8</v>
      </c>
    </row>
    <row r="867" s="2" customFormat="1" ht="14.1" customHeight="1" spans="1:6">
      <c r="A867" s="7" t="str">
        <f>"2101902925"</f>
        <v>2101902925</v>
      </c>
      <c r="B867" s="7" t="str">
        <f t="shared" si="48"/>
        <v>2021019</v>
      </c>
      <c r="C867" s="7" t="str">
        <f t="shared" si="46"/>
        <v>029</v>
      </c>
      <c r="D867" s="7" t="str">
        <f>"25"</f>
        <v>25</v>
      </c>
      <c r="E867" s="8">
        <v>0</v>
      </c>
      <c r="F867" s="7" t="s">
        <v>8</v>
      </c>
    </row>
    <row r="868" s="2" customFormat="1" ht="14.1" customHeight="1" spans="1:6">
      <c r="A868" s="7" t="str">
        <f>"2101902926"</f>
        <v>2101902926</v>
      </c>
      <c r="B868" s="7" t="str">
        <f t="shared" si="48"/>
        <v>2021019</v>
      </c>
      <c r="C868" s="7" t="str">
        <f t="shared" si="46"/>
        <v>029</v>
      </c>
      <c r="D868" s="7" t="str">
        <f>"26"</f>
        <v>26</v>
      </c>
      <c r="E868" s="8">
        <v>57.5</v>
      </c>
      <c r="F868" s="7" t="s">
        <v>7</v>
      </c>
    </row>
    <row r="869" s="2" customFormat="1" ht="14.1" customHeight="1" spans="1:6">
      <c r="A869" s="7" t="str">
        <f>"2101902927"</f>
        <v>2101902927</v>
      </c>
      <c r="B869" s="7" t="str">
        <f t="shared" si="48"/>
        <v>2021019</v>
      </c>
      <c r="C869" s="7" t="str">
        <f t="shared" si="46"/>
        <v>029</v>
      </c>
      <c r="D869" s="7" t="str">
        <f>"27"</f>
        <v>27</v>
      </c>
      <c r="E869" s="8">
        <v>59</v>
      </c>
      <c r="F869" s="7" t="s">
        <v>7</v>
      </c>
    </row>
    <row r="870" s="2" customFormat="1" ht="14.1" customHeight="1" spans="1:6">
      <c r="A870" s="7" t="str">
        <f>"2101902928"</f>
        <v>2101902928</v>
      </c>
      <c r="B870" s="7" t="str">
        <f t="shared" si="48"/>
        <v>2021019</v>
      </c>
      <c r="C870" s="7" t="str">
        <f t="shared" si="46"/>
        <v>029</v>
      </c>
      <c r="D870" s="7" t="str">
        <f>"28"</f>
        <v>28</v>
      </c>
      <c r="E870" s="8">
        <v>64.4</v>
      </c>
      <c r="F870" s="7" t="s">
        <v>7</v>
      </c>
    </row>
    <row r="871" s="2" customFormat="1" ht="14.1" customHeight="1" spans="1:6">
      <c r="A871" s="7" t="str">
        <f>"2101902929"</f>
        <v>2101902929</v>
      </c>
      <c r="B871" s="7" t="str">
        <f t="shared" si="48"/>
        <v>2021019</v>
      </c>
      <c r="C871" s="7" t="str">
        <f t="shared" si="46"/>
        <v>029</v>
      </c>
      <c r="D871" s="7" t="str">
        <f>"29"</f>
        <v>29</v>
      </c>
      <c r="E871" s="8">
        <v>0</v>
      </c>
      <c r="F871" s="7" t="s">
        <v>8</v>
      </c>
    </row>
    <row r="872" s="2" customFormat="1" ht="14.1" customHeight="1" spans="1:6">
      <c r="A872" s="7" t="str">
        <f>"2101902930"</f>
        <v>2101902930</v>
      </c>
      <c r="B872" s="7" t="str">
        <f t="shared" si="48"/>
        <v>2021019</v>
      </c>
      <c r="C872" s="7" t="str">
        <f t="shared" si="46"/>
        <v>029</v>
      </c>
      <c r="D872" s="7" t="str">
        <f>"30"</f>
        <v>30</v>
      </c>
      <c r="E872" s="8">
        <v>0</v>
      </c>
      <c r="F872" s="7" t="s">
        <v>8</v>
      </c>
    </row>
    <row r="873" s="2" customFormat="1" ht="14.1" customHeight="1" spans="1:6">
      <c r="A873" s="7" t="str">
        <f>"2101903001"</f>
        <v>2101903001</v>
      </c>
      <c r="B873" s="7" t="str">
        <f t="shared" si="48"/>
        <v>2021019</v>
      </c>
      <c r="C873" s="7" t="str">
        <f t="shared" ref="C873:C902" si="49">"030"</f>
        <v>030</v>
      </c>
      <c r="D873" s="7" t="str">
        <f>"01"</f>
        <v>01</v>
      </c>
      <c r="E873" s="8">
        <v>65.8</v>
      </c>
      <c r="F873" s="7" t="s">
        <v>7</v>
      </c>
    </row>
    <row r="874" s="2" customFormat="1" ht="14.1" customHeight="1" spans="1:6">
      <c r="A874" s="7" t="str">
        <f>"2101903002"</f>
        <v>2101903002</v>
      </c>
      <c r="B874" s="7" t="str">
        <f t="shared" si="48"/>
        <v>2021019</v>
      </c>
      <c r="C874" s="7" t="str">
        <f t="shared" si="49"/>
        <v>030</v>
      </c>
      <c r="D874" s="7" t="str">
        <f>"02"</f>
        <v>02</v>
      </c>
      <c r="E874" s="8">
        <v>0</v>
      </c>
      <c r="F874" s="7" t="s">
        <v>8</v>
      </c>
    </row>
    <row r="875" s="2" customFormat="1" ht="14.1" customHeight="1" spans="1:6">
      <c r="A875" s="7" t="str">
        <f>"2101903003"</f>
        <v>2101903003</v>
      </c>
      <c r="B875" s="7" t="str">
        <f t="shared" si="48"/>
        <v>2021019</v>
      </c>
      <c r="C875" s="7" t="str">
        <f t="shared" si="49"/>
        <v>030</v>
      </c>
      <c r="D875" s="7" t="str">
        <f>"03"</f>
        <v>03</v>
      </c>
      <c r="E875" s="8">
        <v>0</v>
      </c>
      <c r="F875" s="7" t="s">
        <v>8</v>
      </c>
    </row>
    <row r="876" s="2" customFormat="1" ht="14.1" customHeight="1" spans="1:6">
      <c r="A876" s="7" t="str">
        <f>"2101903004"</f>
        <v>2101903004</v>
      </c>
      <c r="B876" s="7" t="str">
        <f t="shared" si="48"/>
        <v>2021019</v>
      </c>
      <c r="C876" s="7" t="str">
        <f t="shared" si="49"/>
        <v>030</v>
      </c>
      <c r="D876" s="7" t="str">
        <f>"04"</f>
        <v>04</v>
      </c>
      <c r="E876" s="8">
        <v>60.7</v>
      </c>
      <c r="F876" s="7" t="s">
        <v>7</v>
      </c>
    </row>
    <row r="877" s="2" customFormat="1" ht="14.1" customHeight="1" spans="1:6">
      <c r="A877" s="7" t="str">
        <f>"2101903005"</f>
        <v>2101903005</v>
      </c>
      <c r="B877" s="7" t="str">
        <f t="shared" si="48"/>
        <v>2021019</v>
      </c>
      <c r="C877" s="7" t="str">
        <f t="shared" si="49"/>
        <v>030</v>
      </c>
      <c r="D877" s="7" t="str">
        <f>"05"</f>
        <v>05</v>
      </c>
      <c r="E877" s="8">
        <v>0</v>
      </c>
      <c r="F877" s="7" t="s">
        <v>8</v>
      </c>
    </row>
    <row r="878" s="2" customFormat="1" ht="14.1" customHeight="1" spans="1:6">
      <c r="A878" s="7" t="str">
        <f>"2101903006"</f>
        <v>2101903006</v>
      </c>
      <c r="B878" s="7" t="str">
        <f t="shared" si="48"/>
        <v>2021019</v>
      </c>
      <c r="C878" s="7" t="str">
        <f t="shared" si="49"/>
        <v>030</v>
      </c>
      <c r="D878" s="7" t="str">
        <f>"06"</f>
        <v>06</v>
      </c>
      <c r="E878" s="8">
        <v>69.1</v>
      </c>
      <c r="F878" s="7" t="s">
        <v>7</v>
      </c>
    </row>
    <row r="879" s="2" customFormat="1" ht="14.1" customHeight="1" spans="1:6">
      <c r="A879" s="7" t="str">
        <f>"2101903007"</f>
        <v>2101903007</v>
      </c>
      <c r="B879" s="7" t="str">
        <f t="shared" si="48"/>
        <v>2021019</v>
      </c>
      <c r="C879" s="7" t="str">
        <f t="shared" si="49"/>
        <v>030</v>
      </c>
      <c r="D879" s="7" t="str">
        <f>"07"</f>
        <v>07</v>
      </c>
      <c r="E879" s="8">
        <v>58.6</v>
      </c>
      <c r="F879" s="7" t="s">
        <v>7</v>
      </c>
    </row>
    <row r="880" s="2" customFormat="1" ht="14.1" customHeight="1" spans="1:6">
      <c r="A880" s="7" t="str">
        <f>"2101903008"</f>
        <v>2101903008</v>
      </c>
      <c r="B880" s="7" t="str">
        <f t="shared" si="48"/>
        <v>2021019</v>
      </c>
      <c r="C880" s="7" t="str">
        <f t="shared" si="49"/>
        <v>030</v>
      </c>
      <c r="D880" s="7" t="str">
        <f>"08"</f>
        <v>08</v>
      </c>
      <c r="E880" s="8">
        <v>51.5</v>
      </c>
      <c r="F880" s="7" t="s">
        <v>7</v>
      </c>
    </row>
    <row r="881" s="2" customFormat="1" ht="14.1" customHeight="1" spans="1:6">
      <c r="A881" s="7" t="str">
        <f>"2101903009"</f>
        <v>2101903009</v>
      </c>
      <c r="B881" s="7" t="str">
        <f t="shared" si="48"/>
        <v>2021019</v>
      </c>
      <c r="C881" s="7" t="str">
        <f t="shared" si="49"/>
        <v>030</v>
      </c>
      <c r="D881" s="7" t="str">
        <f>"09"</f>
        <v>09</v>
      </c>
      <c r="E881" s="8">
        <v>47.8</v>
      </c>
      <c r="F881" s="7" t="s">
        <v>7</v>
      </c>
    </row>
    <row r="882" s="2" customFormat="1" ht="14.1" customHeight="1" spans="1:6">
      <c r="A882" s="7" t="str">
        <f>"2101903010"</f>
        <v>2101903010</v>
      </c>
      <c r="B882" s="7" t="str">
        <f t="shared" si="48"/>
        <v>2021019</v>
      </c>
      <c r="C882" s="7" t="str">
        <f t="shared" si="49"/>
        <v>030</v>
      </c>
      <c r="D882" s="7" t="str">
        <f>"10"</f>
        <v>10</v>
      </c>
      <c r="E882" s="8">
        <v>67.9</v>
      </c>
      <c r="F882" s="7" t="s">
        <v>7</v>
      </c>
    </row>
    <row r="883" s="2" customFormat="1" ht="14.1" customHeight="1" spans="1:6">
      <c r="A883" s="7" t="str">
        <f>"2101903011"</f>
        <v>2101903011</v>
      </c>
      <c r="B883" s="7" t="str">
        <f t="shared" si="48"/>
        <v>2021019</v>
      </c>
      <c r="C883" s="7" t="str">
        <f t="shared" si="49"/>
        <v>030</v>
      </c>
      <c r="D883" s="7" t="str">
        <f>"11"</f>
        <v>11</v>
      </c>
      <c r="E883" s="8">
        <v>54</v>
      </c>
      <c r="F883" s="7" t="s">
        <v>7</v>
      </c>
    </row>
    <row r="884" s="2" customFormat="1" ht="14.1" customHeight="1" spans="1:6">
      <c r="A884" s="7" t="str">
        <f>"2101903012"</f>
        <v>2101903012</v>
      </c>
      <c r="B884" s="7" t="str">
        <f t="shared" si="48"/>
        <v>2021019</v>
      </c>
      <c r="C884" s="7" t="str">
        <f t="shared" si="49"/>
        <v>030</v>
      </c>
      <c r="D884" s="7" t="str">
        <f>"12"</f>
        <v>12</v>
      </c>
      <c r="E884" s="8">
        <v>53.7</v>
      </c>
      <c r="F884" s="7" t="s">
        <v>7</v>
      </c>
    </row>
    <row r="885" s="2" customFormat="1" ht="14.1" customHeight="1" spans="1:6">
      <c r="A885" s="7" t="str">
        <f>"2101903013"</f>
        <v>2101903013</v>
      </c>
      <c r="B885" s="7" t="str">
        <f t="shared" si="48"/>
        <v>2021019</v>
      </c>
      <c r="C885" s="7" t="str">
        <f t="shared" si="49"/>
        <v>030</v>
      </c>
      <c r="D885" s="7" t="str">
        <f>"13"</f>
        <v>13</v>
      </c>
      <c r="E885" s="8">
        <v>57.5</v>
      </c>
      <c r="F885" s="7" t="s">
        <v>7</v>
      </c>
    </row>
    <row r="886" s="2" customFormat="1" ht="14.1" customHeight="1" spans="1:6">
      <c r="A886" s="7" t="str">
        <f>"2101903014"</f>
        <v>2101903014</v>
      </c>
      <c r="B886" s="7" t="str">
        <f t="shared" si="48"/>
        <v>2021019</v>
      </c>
      <c r="C886" s="7" t="str">
        <f t="shared" si="49"/>
        <v>030</v>
      </c>
      <c r="D886" s="7" t="str">
        <f>"14"</f>
        <v>14</v>
      </c>
      <c r="E886" s="8">
        <v>64.1</v>
      </c>
      <c r="F886" s="7" t="s">
        <v>7</v>
      </c>
    </row>
    <row r="887" s="2" customFormat="1" ht="14.1" customHeight="1" spans="1:6">
      <c r="A887" s="7" t="str">
        <f>"2101903015"</f>
        <v>2101903015</v>
      </c>
      <c r="B887" s="7" t="str">
        <f t="shared" si="48"/>
        <v>2021019</v>
      </c>
      <c r="C887" s="7" t="str">
        <f t="shared" si="49"/>
        <v>030</v>
      </c>
      <c r="D887" s="7" t="str">
        <f>"15"</f>
        <v>15</v>
      </c>
      <c r="E887" s="8">
        <v>0</v>
      </c>
      <c r="F887" s="7" t="s">
        <v>8</v>
      </c>
    </row>
    <row r="888" s="2" customFormat="1" ht="14.1" customHeight="1" spans="1:6">
      <c r="A888" s="7" t="str">
        <f>"2101903016"</f>
        <v>2101903016</v>
      </c>
      <c r="B888" s="7" t="str">
        <f t="shared" si="48"/>
        <v>2021019</v>
      </c>
      <c r="C888" s="7" t="str">
        <f t="shared" si="49"/>
        <v>030</v>
      </c>
      <c r="D888" s="7" t="str">
        <f>"16"</f>
        <v>16</v>
      </c>
      <c r="E888" s="8">
        <v>0</v>
      </c>
      <c r="F888" s="7" t="s">
        <v>8</v>
      </c>
    </row>
    <row r="889" s="2" customFormat="1" ht="14.1" customHeight="1" spans="1:6">
      <c r="A889" s="7" t="str">
        <f>"2101903017"</f>
        <v>2101903017</v>
      </c>
      <c r="B889" s="7" t="str">
        <f t="shared" si="48"/>
        <v>2021019</v>
      </c>
      <c r="C889" s="7" t="str">
        <f t="shared" si="49"/>
        <v>030</v>
      </c>
      <c r="D889" s="7" t="str">
        <f>"17"</f>
        <v>17</v>
      </c>
      <c r="E889" s="8">
        <v>59.5</v>
      </c>
      <c r="F889" s="7" t="s">
        <v>7</v>
      </c>
    </row>
    <row r="890" s="2" customFormat="1" ht="14.1" customHeight="1" spans="1:6">
      <c r="A890" s="7" t="str">
        <f>"2101903018"</f>
        <v>2101903018</v>
      </c>
      <c r="B890" s="7" t="str">
        <f t="shared" si="48"/>
        <v>2021019</v>
      </c>
      <c r="C890" s="7" t="str">
        <f t="shared" si="49"/>
        <v>030</v>
      </c>
      <c r="D890" s="7" t="str">
        <f>"18"</f>
        <v>18</v>
      </c>
      <c r="E890" s="8">
        <v>65.1</v>
      </c>
      <c r="F890" s="7" t="s">
        <v>7</v>
      </c>
    </row>
    <row r="891" s="2" customFormat="1" ht="14.1" customHeight="1" spans="1:6">
      <c r="A891" s="7" t="str">
        <f>"2101903019"</f>
        <v>2101903019</v>
      </c>
      <c r="B891" s="7" t="str">
        <f t="shared" si="48"/>
        <v>2021019</v>
      </c>
      <c r="C891" s="7" t="str">
        <f t="shared" si="49"/>
        <v>030</v>
      </c>
      <c r="D891" s="7" t="str">
        <f>"19"</f>
        <v>19</v>
      </c>
      <c r="E891" s="8">
        <v>65</v>
      </c>
      <c r="F891" s="7" t="s">
        <v>7</v>
      </c>
    </row>
    <row r="892" s="2" customFormat="1" ht="14.1" customHeight="1" spans="1:6">
      <c r="A892" s="7" t="str">
        <f>"2101903020"</f>
        <v>2101903020</v>
      </c>
      <c r="B892" s="7" t="str">
        <f t="shared" si="48"/>
        <v>2021019</v>
      </c>
      <c r="C892" s="7" t="str">
        <f t="shared" si="49"/>
        <v>030</v>
      </c>
      <c r="D892" s="7" t="str">
        <f>"20"</f>
        <v>20</v>
      </c>
      <c r="E892" s="8">
        <v>66.3</v>
      </c>
      <c r="F892" s="7" t="s">
        <v>7</v>
      </c>
    </row>
    <row r="893" s="2" customFormat="1" ht="14.1" customHeight="1" spans="1:6">
      <c r="A893" s="7" t="str">
        <f>"2101903021"</f>
        <v>2101903021</v>
      </c>
      <c r="B893" s="7" t="str">
        <f t="shared" si="48"/>
        <v>2021019</v>
      </c>
      <c r="C893" s="7" t="str">
        <f t="shared" si="49"/>
        <v>030</v>
      </c>
      <c r="D893" s="7" t="str">
        <f>"21"</f>
        <v>21</v>
      </c>
      <c r="E893" s="8">
        <v>59.9</v>
      </c>
      <c r="F893" s="7" t="s">
        <v>7</v>
      </c>
    </row>
    <row r="894" s="2" customFormat="1" ht="14.1" customHeight="1" spans="1:6">
      <c r="A894" s="7" t="str">
        <f>"2101903022"</f>
        <v>2101903022</v>
      </c>
      <c r="B894" s="7" t="str">
        <f t="shared" si="48"/>
        <v>2021019</v>
      </c>
      <c r="C894" s="7" t="str">
        <f t="shared" si="49"/>
        <v>030</v>
      </c>
      <c r="D894" s="7" t="str">
        <f>"22"</f>
        <v>22</v>
      </c>
      <c r="E894" s="8">
        <v>51.8</v>
      </c>
      <c r="F894" s="7" t="s">
        <v>7</v>
      </c>
    </row>
    <row r="895" s="2" customFormat="1" ht="14.1" customHeight="1" spans="1:6">
      <c r="A895" s="7" t="str">
        <f>"2101903023"</f>
        <v>2101903023</v>
      </c>
      <c r="B895" s="7" t="str">
        <f t="shared" si="48"/>
        <v>2021019</v>
      </c>
      <c r="C895" s="7" t="str">
        <f t="shared" si="49"/>
        <v>030</v>
      </c>
      <c r="D895" s="7" t="str">
        <f>"23"</f>
        <v>23</v>
      </c>
      <c r="E895" s="8">
        <v>58.3</v>
      </c>
      <c r="F895" s="7" t="s">
        <v>7</v>
      </c>
    </row>
    <row r="896" s="2" customFormat="1" ht="14.1" customHeight="1" spans="1:6">
      <c r="A896" s="7" t="str">
        <f>"2101903024"</f>
        <v>2101903024</v>
      </c>
      <c r="B896" s="7" t="str">
        <f t="shared" si="48"/>
        <v>2021019</v>
      </c>
      <c r="C896" s="7" t="str">
        <f t="shared" si="49"/>
        <v>030</v>
      </c>
      <c r="D896" s="7" t="str">
        <f>"24"</f>
        <v>24</v>
      </c>
      <c r="E896" s="8">
        <v>0</v>
      </c>
      <c r="F896" s="7" t="s">
        <v>8</v>
      </c>
    </row>
    <row r="897" s="2" customFormat="1" ht="14.1" customHeight="1" spans="1:6">
      <c r="A897" s="7" t="str">
        <f>"2101903025"</f>
        <v>2101903025</v>
      </c>
      <c r="B897" s="7" t="str">
        <f t="shared" si="48"/>
        <v>2021019</v>
      </c>
      <c r="C897" s="7" t="str">
        <f t="shared" si="49"/>
        <v>030</v>
      </c>
      <c r="D897" s="7" t="str">
        <f>"25"</f>
        <v>25</v>
      </c>
      <c r="E897" s="8">
        <v>50.6</v>
      </c>
      <c r="F897" s="7" t="s">
        <v>7</v>
      </c>
    </row>
    <row r="898" s="2" customFormat="1" ht="14.1" customHeight="1" spans="1:6">
      <c r="A898" s="7" t="str">
        <f>"2101903026"</f>
        <v>2101903026</v>
      </c>
      <c r="B898" s="7" t="str">
        <f t="shared" si="48"/>
        <v>2021019</v>
      </c>
      <c r="C898" s="7" t="str">
        <f t="shared" si="49"/>
        <v>030</v>
      </c>
      <c r="D898" s="7" t="str">
        <f>"26"</f>
        <v>26</v>
      </c>
      <c r="E898" s="8">
        <v>0</v>
      </c>
      <c r="F898" s="7" t="s">
        <v>8</v>
      </c>
    </row>
    <row r="899" s="2" customFormat="1" ht="14.1" customHeight="1" spans="1:6">
      <c r="A899" s="7" t="str">
        <f>"2101903027"</f>
        <v>2101903027</v>
      </c>
      <c r="B899" s="7" t="str">
        <f t="shared" si="48"/>
        <v>2021019</v>
      </c>
      <c r="C899" s="7" t="str">
        <f t="shared" si="49"/>
        <v>030</v>
      </c>
      <c r="D899" s="7" t="str">
        <f>"27"</f>
        <v>27</v>
      </c>
      <c r="E899" s="8">
        <v>50.6</v>
      </c>
      <c r="F899" s="7" t="s">
        <v>7</v>
      </c>
    </row>
    <row r="900" s="2" customFormat="1" ht="14.1" customHeight="1" spans="1:6">
      <c r="A900" s="7" t="str">
        <f>"2102003028"</f>
        <v>2102003028</v>
      </c>
      <c r="B900" s="7" t="str">
        <f t="shared" ref="B900:B963" si="50">"2021020"</f>
        <v>2021020</v>
      </c>
      <c r="C900" s="7" t="str">
        <f t="shared" si="49"/>
        <v>030</v>
      </c>
      <c r="D900" s="7" t="str">
        <f>"28"</f>
        <v>28</v>
      </c>
      <c r="E900" s="8">
        <v>0</v>
      </c>
      <c r="F900" s="7" t="s">
        <v>8</v>
      </c>
    </row>
    <row r="901" s="2" customFormat="1" ht="14.1" customHeight="1" spans="1:6">
      <c r="A901" s="7" t="str">
        <f>"2102003029"</f>
        <v>2102003029</v>
      </c>
      <c r="B901" s="7" t="str">
        <f t="shared" si="50"/>
        <v>2021020</v>
      </c>
      <c r="C901" s="7" t="str">
        <f t="shared" si="49"/>
        <v>030</v>
      </c>
      <c r="D901" s="7" t="str">
        <f>"29"</f>
        <v>29</v>
      </c>
      <c r="E901" s="8">
        <v>70.4</v>
      </c>
      <c r="F901" s="7" t="s">
        <v>7</v>
      </c>
    </row>
    <row r="902" s="2" customFormat="1" ht="14.1" customHeight="1" spans="1:6">
      <c r="A902" s="7" t="str">
        <f>"2102003030"</f>
        <v>2102003030</v>
      </c>
      <c r="B902" s="7" t="str">
        <f t="shared" si="50"/>
        <v>2021020</v>
      </c>
      <c r="C902" s="7" t="str">
        <f t="shared" si="49"/>
        <v>030</v>
      </c>
      <c r="D902" s="7" t="str">
        <f>"30"</f>
        <v>30</v>
      </c>
      <c r="E902" s="8">
        <v>67.8</v>
      </c>
      <c r="F902" s="7" t="s">
        <v>7</v>
      </c>
    </row>
    <row r="903" s="2" customFormat="1" ht="14.1" customHeight="1" spans="1:6">
      <c r="A903" s="7" t="str">
        <f>"2102003101"</f>
        <v>2102003101</v>
      </c>
      <c r="B903" s="7" t="str">
        <f t="shared" si="50"/>
        <v>2021020</v>
      </c>
      <c r="C903" s="7" t="str">
        <f t="shared" ref="C903:C932" si="51">"031"</f>
        <v>031</v>
      </c>
      <c r="D903" s="7" t="str">
        <f>"01"</f>
        <v>01</v>
      </c>
      <c r="E903" s="8">
        <v>59.7</v>
      </c>
      <c r="F903" s="7" t="s">
        <v>7</v>
      </c>
    </row>
    <row r="904" s="2" customFormat="1" ht="14.1" customHeight="1" spans="1:6">
      <c r="A904" s="7" t="str">
        <f>"2102003102"</f>
        <v>2102003102</v>
      </c>
      <c r="B904" s="7" t="str">
        <f t="shared" si="50"/>
        <v>2021020</v>
      </c>
      <c r="C904" s="7" t="str">
        <f t="shared" si="51"/>
        <v>031</v>
      </c>
      <c r="D904" s="7" t="str">
        <f>"02"</f>
        <v>02</v>
      </c>
      <c r="E904" s="8">
        <v>68.3</v>
      </c>
      <c r="F904" s="7" t="s">
        <v>7</v>
      </c>
    </row>
    <row r="905" s="2" customFormat="1" ht="14.1" customHeight="1" spans="1:6">
      <c r="A905" s="7" t="str">
        <f>"2102003103"</f>
        <v>2102003103</v>
      </c>
      <c r="B905" s="7" t="str">
        <f t="shared" si="50"/>
        <v>2021020</v>
      </c>
      <c r="C905" s="7" t="str">
        <f t="shared" si="51"/>
        <v>031</v>
      </c>
      <c r="D905" s="7" t="str">
        <f>"03"</f>
        <v>03</v>
      </c>
      <c r="E905" s="8">
        <v>58.7</v>
      </c>
      <c r="F905" s="7" t="s">
        <v>7</v>
      </c>
    </row>
    <row r="906" s="2" customFormat="1" ht="14.1" customHeight="1" spans="1:6">
      <c r="A906" s="7" t="str">
        <f>"2102003104"</f>
        <v>2102003104</v>
      </c>
      <c r="B906" s="7" t="str">
        <f t="shared" si="50"/>
        <v>2021020</v>
      </c>
      <c r="C906" s="7" t="str">
        <f t="shared" si="51"/>
        <v>031</v>
      </c>
      <c r="D906" s="7" t="str">
        <f>"04"</f>
        <v>04</v>
      </c>
      <c r="E906" s="8">
        <v>54.9</v>
      </c>
      <c r="F906" s="7" t="s">
        <v>7</v>
      </c>
    </row>
    <row r="907" s="2" customFormat="1" ht="14.1" customHeight="1" spans="1:6">
      <c r="A907" s="7" t="str">
        <f>"2102003105"</f>
        <v>2102003105</v>
      </c>
      <c r="B907" s="7" t="str">
        <f t="shared" si="50"/>
        <v>2021020</v>
      </c>
      <c r="C907" s="7" t="str">
        <f t="shared" si="51"/>
        <v>031</v>
      </c>
      <c r="D907" s="7" t="str">
        <f>"05"</f>
        <v>05</v>
      </c>
      <c r="E907" s="8">
        <v>68.4</v>
      </c>
      <c r="F907" s="7" t="s">
        <v>7</v>
      </c>
    </row>
    <row r="908" s="2" customFormat="1" ht="14.1" customHeight="1" spans="1:6">
      <c r="A908" s="7" t="str">
        <f>"2102003106"</f>
        <v>2102003106</v>
      </c>
      <c r="B908" s="7" t="str">
        <f t="shared" si="50"/>
        <v>2021020</v>
      </c>
      <c r="C908" s="7" t="str">
        <f t="shared" si="51"/>
        <v>031</v>
      </c>
      <c r="D908" s="7" t="str">
        <f>"06"</f>
        <v>06</v>
      </c>
      <c r="E908" s="8">
        <v>0</v>
      </c>
      <c r="F908" s="7" t="s">
        <v>8</v>
      </c>
    </row>
    <row r="909" s="2" customFormat="1" ht="14.1" customHeight="1" spans="1:6">
      <c r="A909" s="7" t="str">
        <f>"2102003107"</f>
        <v>2102003107</v>
      </c>
      <c r="B909" s="7" t="str">
        <f t="shared" si="50"/>
        <v>2021020</v>
      </c>
      <c r="C909" s="7" t="str">
        <f t="shared" si="51"/>
        <v>031</v>
      </c>
      <c r="D909" s="7" t="str">
        <f>"07"</f>
        <v>07</v>
      </c>
      <c r="E909" s="8">
        <v>0</v>
      </c>
      <c r="F909" s="7" t="s">
        <v>8</v>
      </c>
    </row>
    <row r="910" s="2" customFormat="1" ht="14.1" customHeight="1" spans="1:6">
      <c r="A910" s="7" t="str">
        <f>"2102003108"</f>
        <v>2102003108</v>
      </c>
      <c r="B910" s="7" t="str">
        <f t="shared" si="50"/>
        <v>2021020</v>
      </c>
      <c r="C910" s="7" t="str">
        <f t="shared" si="51"/>
        <v>031</v>
      </c>
      <c r="D910" s="7" t="str">
        <f>"08"</f>
        <v>08</v>
      </c>
      <c r="E910" s="8">
        <v>68.3</v>
      </c>
      <c r="F910" s="7" t="s">
        <v>7</v>
      </c>
    </row>
    <row r="911" s="2" customFormat="1" ht="14.1" customHeight="1" spans="1:6">
      <c r="A911" s="7" t="str">
        <f>"2102003109"</f>
        <v>2102003109</v>
      </c>
      <c r="B911" s="7" t="str">
        <f t="shared" si="50"/>
        <v>2021020</v>
      </c>
      <c r="C911" s="7" t="str">
        <f t="shared" si="51"/>
        <v>031</v>
      </c>
      <c r="D911" s="7" t="str">
        <f>"09"</f>
        <v>09</v>
      </c>
      <c r="E911" s="8">
        <v>65</v>
      </c>
      <c r="F911" s="7" t="s">
        <v>7</v>
      </c>
    </row>
    <row r="912" s="2" customFormat="1" ht="14.1" customHeight="1" spans="1:6">
      <c r="A912" s="7" t="str">
        <f>"2102003110"</f>
        <v>2102003110</v>
      </c>
      <c r="B912" s="7" t="str">
        <f t="shared" si="50"/>
        <v>2021020</v>
      </c>
      <c r="C912" s="7" t="str">
        <f t="shared" si="51"/>
        <v>031</v>
      </c>
      <c r="D912" s="7" t="str">
        <f>"10"</f>
        <v>10</v>
      </c>
      <c r="E912" s="8">
        <v>0</v>
      </c>
      <c r="F912" s="7" t="s">
        <v>8</v>
      </c>
    </row>
    <row r="913" s="2" customFormat="1" ht="14.1" customHeight="1" spans="1:6">
      <c r="A913" s="7" t="str">
        <f>"2102003111"</f>
        <v>2102003111</v>
      </c>
      <c r="B913" s="7" t="str">
        <f t="shared" si="50"/>
        <v>2021020</v>
      </c>
      <c r="C913" s="7" t="str">
        <f t="shared" si="51"/>
        <v>031</v>
      </c>
      <c r="D913" s="7" t="str">
        <f>"11"</f>
        <v>11</v>
      </c>
      <c r="E913" s="8">
        <v>59.6</v>
      </c>
      <c r="F913" s="7" t="s">
        <v>7</v>
      </c>
    </row>
    <row r="914" s="2" customFormat="1" ht="14.1" customHeight="1" spans="1:6">
      <c r="A914" s="7" t="str">
        <f>"2102003112"</f>
        <v>2102003112</v>
      </c>
      <c r="B914" s="7" t="str">
        <f t="shared" si="50"/>
        <v>2021020</v>
      </c>
      <c r="C914" s="7" t="str">
        <f t="shared" si="51"/>
        <v>031</v>
      </c>
      <c r="D914" s="7" t="str">
        <f>"12"</f>
        <v>12</v>
      </c>
      <c r="E914" s="8">
        <v>0</v>
      </c>
      <c r="F914" s="7" t="s">
        <v>8</v>
      </c>
    </row>
    <row r="915" s="2" customFormat="1" ht="14.1" customHeight="1" spans="1:6">
      <c r="A915" s="7" t="str">
        <f>"2102003113"</f>
        <v>2102003113</v>
      </c>
      <c r="B915" s="7" t="str">
        <f t="shared" si="50"/>
        <v>2021020</v>
      </c>
      <c r="C915" s="7" t="str">
        <f t="shared" si="51"/>
        <v>031</v>
      </c>
      <c r="D915" s="7" t="str">
        <f>"13"</f>
        <v>13</v>
      </c>
      <c r="E915" s="8">
        <v>66.9</v>
      </c>
      <c r="F915" s="7" t="s">
        <v>7</v>
      </c>
    </row>
    <row r="916" s="2" customFormat="1" ht="14.1" customHeight="1" spans="1:6">
      <c r="A916" s="7" t="str">
        <f>"2102003114"</f>
        <v>2102003114</v>
      </c>
      <c r="B916" s="7" t="str">
        <f t="shared" si="50"/>
        <v>2021020</v>
      </c>
      <c r="C916" s="7" t="str">
        <f t="shared" si="51"/>
        <v>031</v>
      </c>
      <c r="D916" s="7" t="str">
        <f>"14"</f>
        <v>14</v>
      </c>
      <c r="E916" s="8">
        <v>63.7</v>
      </c>
      <c r="F916" s="7" t="s">
        <v>7</v>
      </c>
    </row>
    <row r="917" s="2" customFormat="1" ht="14.1" customHeight="1" spans="1:6">
      <c r="A917" s="7" t="str">
        <f>"2102003115"</f>
        <v>2102003115</v>
      </c>
      <c r="B917" s="7" t="str">
        <f t="shared" si="50"/>
        <v>2021020</v>
      </c>
      <c r="C917" s="7" t="str">
        <f t="shared" si="51"/>
        <v>031</v>
      </c>
      <c r="D917" s="7" t="str">
        <f>"15"</f>
        <v>15</v>
      </c>
      <c r="E917" s="8">
        <v>0</v>
      </c>
      <c r="F917" s="7" t="s">
        <v>8</v>
      </c>
    </row>
    <row r="918" s="2" customFormat="1" ht="14.1" customHeight="1" spans="1:6">
      <c r="A918" s="7" t="str">
        <f>"2102003116"</f>
        <v>2102003116</v>
      </c>
      <c r="B918" s="7" t="str">
        <f t="shared" si="50"/>
        <v>2021020</v>
      </c>
      <c r="C918" s="7" t="str">
        <f t="shared" si="51"/>
        <v>031</v>
      </c>
      <c r="D918" s="7" t="str">
        <f>"16"</f>
        <v>16</v>
      </c>
      <c r="E918" s="8">
        <v>0</v>
      </c>
      <c r="F918" s="7" t="s">
        <v>8</v>
      </c>
    </row>
    <row r="919" s="2" customFormat="1" ht="14.1" customHeight="1" spans="1:6">
      <c r="A919" s="7" t="str">
        <f>"2102003117"</f>
        <v>2102003117</v>
      </c>
      <c r="B919" s="7" t="str">
        <f t="shared" si="50"/>
        <v>2021020</v>
      </c>
      <c r="C919" s="7" t="str">
        <f t="shared" si="51"/>
        <v>031</v>
      </c>
      <c r="D919" s="7" t="str">
        <f>"17"</f>
        <v>17</v>
      </c>
      <c r="E919" s="8">
        <v>0</v>
      </c>
      <c r="F919" s="7" t="s">
        <v>8</v>
      </c>
    </row>
    <row r="920" s="2" customFormat="1" ht="14.1" customHeight="1" spans="1:6">
      <c r="A920" s="7" t="str">
        <f>"2102003118"</f>
        <v>2102003118</v>
      </c>
      <c r="B920" s="7" t="str">
        <f t="shared" si="50"/>
        <v>2021020</v>
      </c>
      <c r="C920" s="7" t="str">
        <f t="shared" si="51"/>
        <v>031</v>
      </c>
      <c r="D920" s="7" t="str">
        <f>"18"</f>
        <v>18</v>
      </c>
      <c r="E920" s="8">
        <v>0</v>
      </c>
      <c r="F920" s="7" t="s">
        <v>8</v>
      </c>
    </row>
    <row r="921" s="2" customFormat="1" ht="14.1" customHeight="1" spans="1:6">
      <c r="A921" s="7" t="str">
        <f>"2102003119"</f>
        <v>2102003119</v>
      </c>
      <c r="B921" s="7" t="str">
        <f t="shared" si="50"/>
        <v>2021020</v>
      </c>
      <c r="C921" s="7" t="str">
        <f t="shared" si="51"/>
        <v>031</v>
      </c>
      <c r="D921" s="7" t="str">
        <f>"19"</f>
        <v>19</v>
      </c>
      <c r="E921" s="8">
        <v>0</v>
      </c>
      <c r="F921" s="7" t="s">
        <v>8</v>
      </c>
    </row>
    <row r="922" s="2" customFormat="1" ht="14.1" customHeight="1" spans="1:6">
      <c r="A922" s="7" t="str">
        <f>"2102003120"</f>
        <v>2102003120</v>
      </c>
      <c r="B922" s="7" t="str">
        <f t="shared" si="50"/>
        <v>2021020</v>
      </c>
      <c r="C922" s="7" t="str">
        <f t="shared" si="51"/>
        <v>031</v>
      </c>
      <c r="D922" s="7" t="str">
        <f>"20"</f>
        <v>20</v>
      </c>
      <c r="E922" s="8">
        <v>74</v>
      </c>
      <c r="F922" s="7" t="s">
        <v>7</v>
      </c>
    </row>
    <row r="923" s="2" customFormat="1" ht="14.1" customHeight="1" spans="1:6">
      <c r="A923" s="7" t="str">
        <f>"2102003121"</f>
        <v>2102003121</v>
      </c>
      <c r="B923" s="7" t="str">
        <f t="shared" si="50"/>
        <v>2021020</v>
      </c>
      <c r="C923" s="7" t="str">
        <f t="shared" si="51"/>
        <v>031</v>
      </c>
      <c r="D923" s="7" t="str">
        <f>"21"</f>
        <v>21</v>
      </c>
      <c r="E923" s="8">
        <v>68.6</v>
      </c>
      <c r="F923" s="7" t="s">
        <v>7</v>
      </c>
    </row>
    <row r="924" s="2" customFormat="1" ht="14.1" customHeight="1" spans="1:6">
      <c r="A924" s="7" t="str">
        <f>"2102003122"</f>
        <v>2102003122</v>
      </c>
      <c r="B924" s="7" t="str">
        <f t="shared" si="50"/>
        <v>2021020</v>
      </c>
      <c r="C924" s="7" t="str">
        <f t="shared" si="51"/>
        <v>031</v>
      </c>
      <c r="D924" s="7" t="str">
        <f>"22"</f>
        <v>22</v>
      </c>
      <c r="E924" s="8">
        <v>0</v>
      </c>
      <c r="F924" s="7" t="s">
        <v>8</v>
      </c>
    </row>
    <row r="925" s="2" customFormat="1" ht="14.1" customHeight="1" spans="1:6">
      <c r="A925" s="7" t="str">
        <f>"2102003123"</f>
        <v>2102003123</v>
      </c>
      <c r="B925" s="7" t="str">
        <f t="shared" si="50"/>
        <v>2021020</v>
      </c>
      <c r="C925" s="7" t="str">
        <f t="shared" si="51"/>
        <v>031</v>
      </c>
      <c r="D925" s="7" t="str">
        <f>"23"</f>
        <v>23</v>
      </c>
      <c r="E925" s="8">
        <v>60.7</v>
      </c>
      <c r="F925" s="7" t="s">
        <v>7</v>
      </c>
    </row>
    <row r="926" s="2" customFormat="1" ht="14.1" customHeight="1" spans="1:6">
      <c r="A926" s="7" t="str">
        <f>"2102003124"</f>
        <v>2102003124</v>
      </c>
      <c r="B926" s="7" t="str">
        <f t="shared" si="50"/>
        <v>2021020</v>
      </c>
      <c r="C926" s="7" t="str">
        <f t="shared" si="51"/>
        <v>031</v>
      </c>
      <c r="D926" s="7" t="str">
        <f>"24"</f>
        <v>24</v>
      </c>
      <c r="E926" s="8">
        <v>0</v>
      </c>
      <c r="F926" s="7" t="s">
        <v>8</v>
      </c>
    </row>
    <row r="927" s="2" customFormat="1" ht="14.1" customHeight="1" spans="1:6">
      <c r="A927" s="7" t="str">
        <f>"2102003125"</f>
        <v>2102003125</v>
      </c>
      <c r="B927" s="7" t="str">
        <f t="shared" si="50"/>
        <v>2021020</v>
      </c>
      <c r="C927" s="7" t="str">
        <f t="shared" si="51"/>
        <v>031</v>
      </c>
      <c r="D927" s="7" t="str">
        <f>"25"</f>
        <v>25</v>
      </c>
      <c r="E927" s="8">
        <v>59.3</v>
      </c>
      <c r="F927" s="7" t="s">
        <v>7</v>
      </c>
    </row>
    <row r="928" s="2" customFormat="1" ht="14.1" customHeight="1" spans="1:6">
      <c r="A928" s="7" t="str">
        <f>"2102003126"</f>
        <v>2102003126</v>
      </c>
      <c r="B928" s="7" t="str">
        <f t="shared" si="50"/>
        <v>2021020</v>
      </c>
      <c r="C928" s="7" t="str">
        <f t="shared" si="51"/>
        <v>031</v>
      </c>
      <c r="D928" s="7" t="str">
        <f>"26"</f>
        <v>26</v>
      </c>
      <c r="E928" s="8">
        <v>59.6</v>
      </c>
      <c r="F928" s="7" t="s">
        <v>7</v>
      </c>
    </row>
    <row r="929" s="2" customFormat="1" ht="14.1" customHeight="1" spans="1:6">
      <c r="A929" s="7" t="str">
        <f>"2102003127"</f>
        <v>2102003127</v>
      </c>
      <c r="B929" s="7" t="str">
        <f t="shared" si="50"/>
        <v>2021020</v>
      </c>
      <c r="C929" s="7" t="str">
        <f t="shared" si="51"/>
        <v>031</v>
      </c>
      <c r="D929" s="7" t="str">
        <f>"27"</f>
        <v>27</v>
      </c>
      <c r="E929" s="8">
        <v>0</v>
      </c>
      <c r="F929" s="7" t="s">
        <v>8</v>
      </c>
    </row>
    <row r="930" s="2" customFormat="1" ht="14.1" customHeight="1" spans="1:6">
      <c r="A930" s="7" t="str">
        <f>"2102003128"</f>
        <v>2102003128</v>
      </c>
      <c r="B930" s="7" t="str">
        <f t="shared" si="50"/>
        <v>2021020</v>
      </c>
      <c r="C930" s="7" t="str">
        <f t="shared" si="51"/>
        <v>031</v>
      </c>
      <c r="D930" s="7" t="str">
        <f>"28"</f>
        <v>28</v>
      </c>
      <c r="E930" s="8">
        <v>56.4</v>
      </c>
      <c r="F930" s="7" t="s">
        <v>7</v>
      </c>
    </row>
    <row r="931" s="2" customFormat="1" ht="14.1" customHeight="1" spans="1:6">
      <c r="A931" s="7" t="str">
        <f>"2102003129"</f>
        <v>2102003129</v>
      </c>
      <c r="B931" s="7" t="str">
        <f t="shared" si="50"/>
        <v>2021020</v>
      </c>
      <c r="C931" s="7" t="str">
        <f t="shared" si="51"/>
        <v>031</v>
      </c>
      <c r="D931" s="7" t="str">
        <f>"29"</f>
        <v>29</v>
      </c>
      <c r="E931" s="8">
        <v>0</v>
      </c>
      <c r="F931" s="7" t="s">
        <v>8</v>
      </c>
    </row>
    <row r="932" s="2" customFormat="1" ht="14.1" customHeight="1" spans="1:6">
      <c r="A932" s="7" t="str">
        <f>"2102003130"</f>
        <v>2102003130</v>
      </c>
      <c r="B932" s="7" t="str">
        <f t="shared" si="50"/>
        <v>2021020</v>
      </c>
      <c r="C932" s="7" t="str">
        <f t="shared" si="51"/>
        <v>031</v>
      </c>
      <c r="D932" s="7" t="str">
        <f>"30"</f>
        <v>30</v>
      </c>
      <c r="E932" s="8">
        <v>66.2</v>
      </c>
      <c r="F932" s="7" t="s">
        <v>7</v>
      </c>
    </row>
    <row r="933" s="2" customFormat="1" ht="14.1" customHeight="1" spans="1:6">
      <c r="A933" s="7" t="str">
        <f>"2102003201"</f>
        <v>2102003201</v>
      </c>
      <c r="B933" s="7" t="str">
        <f t="shared" si="50"/>
        <v>2021020</v>
      </c>
      <c r="C933" s="7" t="str">
        <f t="shared" ref="C933:C962" si="52">"032"</f>
        <v>032</v>
      </c>
      <c r="D933" s="7" t="str">
        <f>"01"</f>
        <v>01</v>
      </c>
      <c r="E933" s="8">
        <v>0</v>
      </c>
      <c r="F933" s="7" t="s">
        <v>8</v>
      </c>
    </row>
    <row r="934" s="2" customFormat="1" ht="14.1" customHeight="1" spans="1:6">
      <c r="A934" s="7" t="str">
        <f>"2102003202"</f>
        <v>2102003202</v>
      </c>
      <c r="B934" s="7" t="str">
        <f t="shared" si="50"/>
        <v>2021020</v>
      </c>
      <c r="C934" s="7" t="str">
        <f t="shared" si="52"/>
        <v>032</v>
      </c>
      <c r="D934" s="7" t="str">
        <f>"02"</f>
        <v>02</v>
      </c>
      <c r="E934" s="8">
        <v>0</v>
      </c>
      <c r="F934" s="7" t="s">
        <v>8</v>
      </c>
    </row>
    <row r="935" s="2" customFormat="1" ht="14.1" customHeight="1" spans="1:6">
      <c r="A935" s="7" t="str">
        <f>"2102003203"</f>
        <v>2102003203</v>
      </c>
      <c r="B935" s="7" t="str">
        <f t="shared" si="50"/>
        <v>2021020</v>
      </c>
      <c r="C935" s="7" t="str">
        <f t="shared" si="52"/>
        <v>032</v>
      </c>
      <c r="D935" s="7" t="str">
        <f>"03"</f>
        <v>03</v>
      </c>
      <c r="E935" s="8">
        <v>70.1</v>
      </c>
      <c r="F935" s="7" t="s">
        <v>7</v>
      </c>
    </row>
    <row r="936" s="2" customFormat="1" ht="14.1" customHeight="1" spans="1:6">
      <c r="A936" s="7" t="str">
        <f>"2102003204"</f>
        <v>2102003204</v>
      </c>
      <c r="B936" s="7" t="str">
        <f t="shared" si="50"/>
        <v>2021020</v>
      </c>
      <c r="C936" s="7" t="str">
        <f t="shared" si="52"/>
        <v>032</v>
      </c>
      <c r="D936" s="7" t="str">
        <f>"04"</f>
        <v>04</v>
      </c>
      <c r="E936" s="8">
        <v>63.8</v>
      </c>
      <c r="F936" s="7" t="s">
        <v>7</v>
      </c>
    </row>
    <row r="937" s="2" customFormat="1" ht="14.1" customHeight="1" spans="1:6">
      <c r="A937" s="7" t="str">
        <f>"2102003205"</f>
        <v>2102003205</v>
      </c>
      <c r="B937" s="7" t="str">
        <f t="shared" si="50"/>
        <v>2021020</v>
      </c>
      <c r="C937" s="7" t="str">
        <f t="shared" si="52"/>
        <v>032</v>
      </c>
      <c r="D937" s="7" t="str">
        <f>"05"</f>
        <v>05</v>
      </c>
      <c r="E937" s="8">
        <v>65.2</v>
      </c>
      <c r="F937" s="7" t="s">
        <v>7</v>
      </c>
    </row>
    <row r="938" s="2" customFormat="1" ht="14.1" customHeight="1" spans="1:6">
      <c r="A938" s="7" t="str">
        <f>"2102003206"</f>
        <v>2102003206</v>
      </c>
      <c r="B938" s="7" t="str">
        <f t="shared" si="50"/>
        <v>2021020</v>
      </c>
      <c r="C938" s="7" t="str">
        <f t="shared" si="52"/>
        <v>032</v>
      </c>
      <c r="D938" s="7" t="str">
        <f>"06"</f>
        <v>06</v>
      </c>
      <c r="E938" s="8">
        <v>69.9</v>
      </c>
      <c r="F938" s="7" t="s">
        <v>7</v>
      </c>
    </row>
    <row r="939" s="2" customFormat="1" ht="14.1" customHeight="1" spans="1:6">
      <c r="A939" s="7" t="str">
        <f>"2102003207"</f>
        <v>2102003207</v>
      </c>
      <c r="B939" s="7" t="str">
        <f t="shared" si="50"/>
        <v>2021020</v>
      </c>
      <c r="C939" s="7" t="str">
        <f t="shared" si="52"/>
        <v>032</v>
      </c>
      <c r="D939" s="7" t="str">
        <f>"07"</f>
        <v>07</v>
      </c>
      <c r="E939" s="8">
        <v>0</v>
      </c>
      <c r="F939" s="7" t="s">
        <v>8</v>
      </c>
    </row>
    <row r="940" s="2" customFormat="1" ht="14.1" customHeight="1" spans="1:6">
      <c r="A940" s="7" t="str">
        <f>"2102003208"</f>
        <v>2102003208</v>
      </c>
      <c r="B940" s="7" t="str">
        <f t="shared" si="50"/>
        <v>2021020</v>
      </c>
      <c r="C940" s="7" t="str">
        <f t="shared" si="52"/>
        <v>032</v>
      </c>
      <c r="D940" s="7" t="str">
        <f>"08"</f>
        <v>08</v>
      </c>
      <c r="E940" s="8">
        <v>0</v>
      </c>
      <c r="F940" s="7" t="s">
        <v>8</v>
      </c>
    </row>
    <row r="941" s="2" customFormat="1" ht="14.1" customHeight="1" spans="1:6">
      <c r="A941" s="7" t="str">
        <f>"2102003209"</f>
        <v>2102003209</v>
      </c>
      <c r="B941" s="7" t="str">
        <f t="shared" si="50"/>
        <v>2021020</v>
      </c>
      <c r="C941" s="7" t="str">
        <f t="shared" si="52"/>
        <v>032</v>
      </c>
      <c r="D941" s="7" t="str">
        <f>"09"</f>
        <v>09</v>
      </c>
      <c r="E941" s="8">
        <v>61.9</v>
      </c>
      <c r="F941" s="7" t="s">
        <v>7</v>
      </c>
    </row>
    <row r="942" s="2" customFormat="1" ht="14.1" customHeight="1" spans="1:6">
      <c r="A942" s="7" t="str">
        <f>"2102003210"</f>
        <v>2102003210</v>
      </c>
      <c r="B942" s="7" t="str">
        <f t="shared" si="50"/>
        <v>2021020</v>
      </c>
      <c r="C942" s="7" t="str">
        <f t="shared" si="52"/>
        <v>032</v>
      </c>
      <c r="D942" s="7" t="str">
        <f>"10"</f>
        <v>10</v>
      </c>
      <c r="E942" s="8">
        <v>0</v>
      </c>
      <c r="F942" s="7" t="s">
        <v>8</v>
      </c>
    </row>
    <row r="943" s="2" customFormat="1" ht="14.1" customHeight="1" spans="1:6">
      <c r="A943" s="7" t="str">
        <f>"2102003211"</f>
        <v>2102003211</v>
      </c>
      <c r="B943" s="7" t="str">
        <f t="shared" si="50"/>
        <v>2021020</v>
      </c>
      <c r="C943" s="7" t="str">
        <f t="shared" si="52"/>
        <v>032</v>
      </c>
      <c r="D943" s="7" t="str">
        <f>"11"</f>
        <v>11</v>
      </c>
      <c r="E943" s="8">
        <v>0</v>
      </c>
      <c r="F943" s="7" t="s">
        <v>8</v>
      </c>
    </row>
    <row r="944" s="2" customFormat="1" ht="14.1" customHeight="1" spans="1:6">
      <c r="A944" s="7" t="str">
        <f>"2102003212"</f>
        <v>2102003212</v>
      </c>
      <c r="B944" s="7" t="str">
        <f t="shared" si="50"/>
        <v>2021020</v>
      </c>
      <c r="C944" s="7" t="str">
        <f t="shared" si="52"/>
        <v>032</v>
      </c>
      <c r="D944" s="7" t="str">
        <f>"12"</f>
        <v>12</v>
      </c>
      <c r="E944" s="8">
        <v>0</v>
      </c>
      <c r="F944" s="7" t="s">
        <v>8</v>
      </c>
    </row>
    <row r="945" s="2" customFormat="1" ht="14.1" customHeight="1" spans="1:6">
      <c r="A945" s="7" t="str">
        <f>"2102003213"</f>
        <v>2102003213</v>
      </c>
      <c r="B945" s="7" t="str">
        <f t="shared" si="50"/>
        <v>2021020</v>
      </c>
      <c r="C945" s="7" t="str">
        <f t="shared" si="52"/>
        <v>032</v>
      </c>
      <c r="D945" s="7" t="str">
        <f>"13"</f>
        <v>13</v>
      </c>
      <c r="E945" s="8">
        <v>0</v>
      </c>
      <c r="F945" s="7" t="s">
        <v>8</v>
      </c>
    </row>
    <row r="946" s="2" customFormat="1" ht="14.1" customHeight="1" spans="1:6">
      <c r="A946" s="7" t="str">
        <f>"2102003214"</f>
        <v>2102003214</v>
      </c>
      <c r="B946" s="7" t="str">
        <f t="shared" si="50"/>
        <v>2021020</v>
      </c>
      <c r="C946" s="7" t="str">
        <f t="shared" si="52"/>
        <v>032</v>
      </c>
      <c r="D946" s="7" t="str">
        <f>"14"</f>
        <v>14</v>
      </c>
      <c r="E946" s="8">
        <v>69.7</v>
      </c>
      <c r="F946" s="7" t="s">
        <v>7</v>
      </c>
    </row>
    <row r="947" s="2" customFormat="1" ht="14.1" customHeight="1" spans="1:6">
      <c r="A947" s="7" t="str">
        <f>"2102003215"</f>
        <v>2102003215</v>
      </c>
      <c r="B947" s="7" t="str">
        <f t="shared" si="50"/>
        <v>2021020</v>
      </c>
      <c r="C947" s="7" t="str">
        <f t="shared" si="52"/>
        <v>032</v>
      </c>
      <c r="D947" s="7" t="str">
        <f>"15"</f>
        <v>15</v>
      </c>
      <c r="E947" s="8">
        <v>0</v>
      </c>
      <c r="F947" s="7" t="s">
        <v>8</v>
      </c>
    </row>
    <row r="948" s="2" customFormat="1" ht="14.1" customHeight="1" spans="1:6">
      <c r="A948" s="7" t="str">
        <f>"2102003216"</f>
        <v>2102003216</v>
      </c>
      <c r="B948" s="7" t="str">
        <f t="shared" si="50"/>
        <v>2021020</v>
      </c>
      <c r="C948" s="7" t="str">
        <f t="shared" si="52"/>
        <v>032</v>
      </c>
      <c r="D948" s="7" t="str">
        <f>"16"</f>
        <v>16</v>
      </c>
      <c r="E948" s="8">
        <v>0</v>
      </c>
      <c r="F948" s="7" t="s">
        <v>8</v>
      </c>
    </row>
    <row r="949" s="2" customFormat="1" ht="14.1" customHeight="1" spans="1:6">
      <c r="A949" s="7" t="str">
        <f>"2102003217"</f>
        <v>2102003217</v>
      </c>
      <c r="B949" s="7" t="str">
        <f t="shared" si="50"/>
        <v>2021020</v>
      </c>
      <c r="C949" s="7" t="str">
        <f t="shared" si="52"/>
        <v>032</v>
      </c>
      <c r="D949" s="7" t="str">
        <f>"17"</f>
        <v>17</v>
      </c>
      <c r="E949" s="8">
        <v>61.3</v>
      </c>
      <c r="F949" s="7" t="s">
        <v>7</v>
      </c>
    </row>
    <row r="950" s="2" customFormat="1" ht="14.1" customHeight="1" spans="1:6">
      <c r="A950" s="7" t="str">
        <f>"2102003218"</f>
        <v>2102003218</v>
      </c>
      <c r="B950" s="7" t="str">
        <f t="shared" si="50"/>
        <v>2021020</v>
      </c>
      <c r="C950" s="7" t="str">
        <f t="shared" si="52"/>
        <v>032</v>
      </c>
      <c r="D950" s="7" t="str">
        <f>"18"</f>
        <v>18</v>
      </c>
      <c r="E950" s="8">
        <v>67.1</v>
      </c>
      <c r="F950" s="7" t="s">
        <v>7</v>
      </c>
    </row>
    <row r="951" s="2" customFormat="1" ht="14.1" customHeight="1" spans="1:6">
      <c r="A951" s="7" t="str">
        <f>"2102003219"</f>
        <v>2102003219</v>
      </c>
      <c r="B951" s="7" t="str">
        <f t="shared" si="50"/>
        <v>2021020</v>
      </c>
      <c r="C951" s="7" t="str">
        <f t="shared" si="52"/>
        <v>032</v>
      </c>
      <c r="D951" s="7" t="str">
        <f>"19"</f>
        <v>19</v>
      </c>
      <c r="E951" s="8">
        <v>58.1</v>
      </c>
      <c r="F951" s="7" t="s">
        <v>7</v>
      </c>
    </row>
    <row r="952" s="2" customFormat="1" ht="14.1" customHeight="1" spans="1:6">
      <c r="A952" s="7" t="str">
        <f>"2102003220"</f>
        <v>2102003220</v>
      </c>
      <c r="B952" s="7" t="str">
        <f t="shared" si="50"/>
        <v>2021020</v>
      </c>
      <c r="C952" s="7" t="str">
        <f t="shared" si="52"/>
        <v>032</v>
      </c>
      <c r="D952" s="7" t="str">
        <f>"20"</f>
        <v>20</v>
      </c>
      <c r="E952" s="8">
        <v>0</v>
      </c>
      <c r="F952" s="7" t="s">
        <v>8</v>
      </c>
    </row>
    <row r="953" s="2" customFormat="1" ht="14.1" customHeight="1" spans="1:6">
      <c r="A953" s="7" t="str">
        <f>"2102003221"</f>
        <v>2102003221</v>
      </c>
      <c r="B953" s="7" t="str">
        <f t="shared" si="50"/>
        <v>2021020</v>
      </c>
      <c r="C953" s="7" t="str">
        <f t="shared" si="52"/>
        <v>032</v>
      </c>
      <c r="D953" s="7" t="str">
        <f>"21"</f>
        <v>21</v>
      </c>
      <c r="E953" s="8">
        <v>74.2</v>
      </c>
      <c r="F953" s="7" t="s">
        <v>7</v>
      </c>
    </row>
    <row r="954" s="2" customFormat="1" ht="14.1" customHeight="1" spans="1:6">
      <c r="A954" s="7" t="str">
        <f>"2102003222"</f>
        <v>2102003222</v>
      </c>
      <c r="B954" s="7" t="str">
        <f t="shared" si="50"/>
        <v>2021020</v>
      </c>
      <c r="C954" s="7" t="str">
        <f t="shared" si="52"/>
        <v>032</v>
      </c>
      <c r="D954" s="7" t="str">
        <f>"22"</f>
        <v>22</v>
      </c>
      <c r="E954" s="8">
        <v>62.1</v>
      </c>
      <c r="F954" s="7" t="s">
        <v>7</v>
      </c>
    </row>
    <row r="955" s="2" customFormat="1" ht="14.1" customHeight="1" spans="1:6">
      <c r="A955" s="7" t="str">
        <f>"2102003223"</f>
        <v>2102003223</v>
      </c>
      <c r="B955" s="7" t="str">
        <f t="shared" si="50"/>
        <v>2021020</v>
      </c>
      <c r="C955" s="7" t="str">
        <f t="shared" si="52"/>
        <v>032</v>
      </c>
      <c r="D955" s="7" t="str">
        <f>"23"</f>
        <v>23</v>
      </c>
      <c r="E955" s="8">
        <v>64</v>
      </c>
      <c r="F955" s="7" t="s">
        <v>7</v>
      </c>
    </row>
    <row r="956" s="2" customFormat="1" ht="14.1" customHeight="1" spans="1:6">
      <c r="A956" s="7" t="str">
        <f>"2102003224"</f>
        <v>2102003224</v>
      </c>
      <c r="B956" s="7" t="str">
        <f t="shared" si="50"/>
        <v>2021020</v>
      </c>
      <c r="C956" s="7" t="str">
        <f t="shared" si="52"/>
        <v>032</v>
      </c>
      <c r="D956" s="7" t="str">
        <f>"24"</f>
        <v>24</v>
      </c>
      <c r="E956" s="8">
        <v>53.6</v>
      </c>
      <c r="F956" s="7" t="s">
        <v>7</v>
      </c>
    </row>
    <row r="957" s="2" customFormat="1" ht="14.1" customHeight="1" spans="1:6">
      <c r="A957" s="7" t="str">
        <f>"2102003225"</f>
        <v>2102003225</v>
      </c>
      <c r="B957" s="7" t="str">
        <f t="shared" si="50"/>
        <v>2021020</v>
      </c>
      <c r="C957" s="7" t="str">
        <f t="shared" si="52"/>
        <v>032</v>
      </c>
      <c r="D957" s="7" t="str">
        <f>"25"</f>
        <v>25</v>
      </c>
      <c r="E957" s="8">
        <v>61.6</v>
      </c>
      <c r="F957" s="7" t="s">
        <v>7</v>
      </c>
    </row>
    <row r="958" s="2" customFormat="1" ht="14.1" customHeight="1" spans="1:6">
      <c r="A958" s="7" t="str">
        <f>"2102003226"</f>
        <v>2102003226</v>
      </c>
      <c r="B958" s="7" t="str">
        <f t="shared" si="50"/>
        <v>2021020</v>
      </c>
      <c r="C958" s="7" t="str">
        <f t="shared" si="52"/>
        <v>032</v>
      </c>
      <c r="D958" s="7" t="str">
        <f>"26"</f>
        <v>26</v>
      </c>
      <c r="E958" s="8">
        <v>63.6</v>
      </c>
      <c r="F958" s="7" t="s">
        <v>7</v>
      </c>
    </row>
    <row r="959" s="2" customFormat="1" ht="14.1" customHeight="1" spans="1:6">
      <c r="A959" s="7" t="str">
        <f>"2102003227"</f>
        <v>2102003227</v>
      </c>
      <c r="B959" s="7" t="str">
        <f t="shared" si="50"/>
        <v>2021020</v>
      </c>
      <c r="C959" s="7" t="str">
        <f t="shared" si="52"/>
        <v>032</v>
      </c>
      <c r="D959" s="7" t="str">
        <f>"27"</f>
        <v>27</v>
      </c>
      <c r="E959" s="8">
        <v>0</v>
      </c>
      <c r="F959" s="7" t="s">
        <v>8</v>
      </c>
    </row>
    <row r="960" s="2" customFormat="1" ht="14.1" customHeight="1" spans="1:6">
      <c r="A960" s="7" t="str">
        <f>"2102003228"</f>
        <v>2102003228</v>
      </c>
      <c r="B960" s="7" t="str">
        <f t="shared" si="50"/>
        <v>2021020</v>
      </c>
      <c r="C960" s="7" t="str">
        <f t="shared" si="52"/>
        <v>032</v>
      </c>
      <c r="D960" s="7" t="str">
        <f>"28"</f>
        <v>28</v>
      </c>
      <c r="E960" s="8">
        <v>0</v>
      </c>
      <c r="F960" s="7" t="s">
        <v>8</v>
      </c>
    </row>
    <row r="961" s="2" customFormat="1" ht="14.1" customHeight="1" spans="1:6">
      <c r="A961" s="7" t="str">
        <f>"2102003229"</f>
        <v>2102003229</v>
      </c>
      <c r="B961" s="7" t="str">
        <f t="shared" si="50"/>
        <v>2021020</v>
      </c>
      <c r="C961" s="7" t="str">
        <f t="shared" si="52"/>
        <v>032</v>
      </c>
      <c r="D961" s="7" t="str">
        <f>"29"</f>
        <v>29</v>
      </c>
      <c r="E961" s="8">
        <v>61.5</v>
      </c>
      <c r="F961" s="7" t="s">
        <v>7</v>
      </c>
    </row>
    <row r="962" s="2" customFormat="1" ht="14.1" customHeight="1" spans="1:6">
      <c r="A962" s="7" t="str">
        <f>"2102003230"</f>
        <v>2102003230</v>
      </c>
      <c r="B962" s="7" t="str">
        <f t="shared" si="50"/>
        <v>2021020</v>
      </c>
      <c r="C962" s="7" t="str">
        <f t="shared" si="52"/>
        <v>032</v>
      </c>
      <c r="D962" s="7" t="str">
        <f>"30"</f>
        <v>30</v>
      </c>
      <c r="E962" s="8">
        <v>0</v>
      </c>
      <c r="F962" s="7" t="s">
        <v>8</v>
      </c>
    </row>
    <row r="963" s="2" customFormat="1" ht="14.1" customHeight="1" spans="1:6">
      <c r="A963" s="7" t="str">
        <f>"2102003301"</f>
        <v>2102003301</v>
      </c>
      <c r="B963" s="7" t="str">
        <f t="shared" si="50"/>
        <v>2021020</v>
      </c>
      <c r="C963" s="7" t="str">
        <f t="shared" ref="C963:C992" si="53">"033"</f>
        <v>033</v>
      </c>
      <c r="D963" s="7" t="str">
        <f>"01"</f>
        <v>01</v>
      </c>
      <c r="E963" s="8">
        <v>0</v>
      </c>
      <c r="F963" s="7" t="s">
        <v>8</v>
      </c>
    </row>
    <row r="964" s="2" customFormat="1" ht="14.1" customHeight="1" spans="1:6">
      <c r="A964" s="7" t="str">
        <f>"2102003302"</f>
        <v>2102003302</v>
      </c>
      <c r="B964" s="7" t="str">
        <f t="shared" ref="B964:B1027" si="54">"2021020"</f>
        <v>2021020</v>
      </c>
      <c r="C964" s="7" t="str">
        <f t="shared" si="53"/>
        <v>033</v>
      </c>
      <c r="D964" s="7" t="str">
        <f>"02"</f>
        <v>02</v>
      </c>
      <c r="E964" s="8">
        <v>0</v>
      </c>
      <c r="F964" s="7" t="s">
        <v>8</v>
      </c>
    </row>
    <row r="965" s="2" customFormat="1" ht="14.1" customHeight="1" spans="1:6">
      <c r="A965" s="7" t="str">
        <f>"2102003303"</f>
        <v>2102003303</v>
      </c>
      <c r="B965" s="7" t="str">
        <f t="shared" si="54"/>
        <v>2021020</v>
      </c>
      <c r="C965" s="7" t="str">
        <f t="shared" si="53"/>
        <v>033</v>
      </c>
      <c r="D965" s="7" t="str">
        <f>"03"</f>
        <v>03</v>
      </c>
      <c r="E965" s="8">
        <v>0</v>
      </c>
      <c r="F965" s="7" t="s">
        <v>8</v>
      </c>
    </row>
    <row r="966" s="2" customFormat="1" ht="14.1" customHeight="1" spans="1:6">
      <c r="A966" s="7" t="str">
        <f>"2102003304"</f>
        <v>2102003304</v>
      </c>
      <c r="B966" s="7" t="str">
        <f t="shared" si="54"/>
        <v>2021020</v>
      </c>
      <c r="C966" s="7" t="str">
        <f t="shared" si="53"/>
        <v>033</v>
      </c>
      <c r="D966" s="7" t="str">
        <f>"04"</f>
        <v>04</v>
      </c>
      <c r="E966" s="8">
        <v>0</v>
      </c>
      <c r="F966" s="7" t="s">
        <v>8</v>
      </c>
    </row>
    <row r="967" s="2" customFormat="1" ht="14.1" customHeight="1" spans="1:6">
      <c r="A967" s="7" t="str">
        <f>"2102003305"</f>
        <v>2102003305</v>
      </c>
      <c r="B967" s="7" t="str">
        <f t="shared" si="54"/>
        <v>2021020</v>
      </c>
      <c r="C967" s="7" t="str">
        <f t="shared" si="53"/>
        <v>033</v>
      </c>
      <c r="D967" s="7" t="str">
        <f>"05"</f>
        <v>05</v>
      </c>
      <c r="E967" s="8">
        <v>64</v>
      </c>
      <c r="F967" s="7" t="s">
        <v>7</v>
      </c>
    </row>
    <row r="968" s="2" customFormat="1" ht="14.1" customHeight="1" spans="1:6">
      <c r="A968" s="7" t="str">
        <f>"2102003306"</f>
        <v>2102003306</v>
      </c>
      <c r="B968" s="7" t="str">
        <f t="shared" si="54"/>
        <v>2021020</v>
      </c>
      <c r="C968" s="7" t="str">
        <f t="shared" si="53"/>
        <v>033</v>
      </c>
      <c r="D968" s="7" t="str">
        <f>"06"</f>
        <v>06</v>
      </c>
      <c r="E968" s="8">
        <v>0</v>
      </c>
      <c r="F968" s="7" t="s">
        <v>8</v>
      </c>
    </row>
    <row r="969" s="2" customFormat="1" ht="14.1" customHeight="1" spans="1:6">
      <c r="A969" s="7" t="str">
        <f>"2102003307"</f>
        <v>2102003307</v>
      </c>
      <c r="B969" s="7" t="str">
        <f t="shared" si="54"/>
        <v>2021020</v>
      </c>
      <c r="C969" s="7" t="str">
        <f t="shared" si="53"/>
        <v>033</v>
      </c>
      <c r="D969" s="7" t="str">
        <f>"07"</f>
        <v>07</v>
      </c>
      <c r="E969" s="8">
        <v>59.6</v>
      </c>
      <c r="F969" s="7" t="s">
        <v>7</v>
      </c>
    </row>
    <row r="970" s="2" customFormat="1" ht="14.1" customHeight="1" spans="1:6">
      <c r="A970" s="7" t="str">
        <f>"2102003308"</f>
        <v>2102003308</v>
      </c>
      <c r="B970" s="7" t="str">
        <f t="shared" si="54"/>
        <v>2021020</v>
      </c>
      <c r="C970" s="7" t="str">
        <f t="shared" si="53"/>
        <v>033</v>
      </c>
      <c r="D970" s="7" t="str">
        <f>"08"</f>
        <v>08</v>
      </c>
      <c r="E970" s="8">
        <v>0</v>
      </c>
      <c r="F970" s="7" t="s">
        <v>8</v>
      </c>
    </row>
    <row r="971" s="2" customFormat="1" ht="14.1" customHeight="1" spans="1:6">
      <c r="A971" s="7" t="str">
        <f>"2102003309"</f>
        <v>2102003309</v>
      </c>
      <c r="B971" s="7" t="str">
        <f t="shared" si="54"/>
        <v>2021020</v>
      </c>
      <c r="C971" s="7" t="str">
        <f t="shared" si="53"/>
        <v>033</v>
      </c>
      <c r="D971" s="7" t="str">
        <f>"09"</f>
        <v>09</v>
      </c>
      <c r="E971" s="8">
        <v>0</v>
      </c>
      <c r="F971" s="7" t="s">
        <v>8</v>
      </c>
    </row>
    <row r="972" s="2" customFormat="1" ht="14.1" customHeight="1" spans="1:6">
      <c r="A972" s="7" t="str">
        <f>"2102003310"</f>
        <v>2102003310</v>
      </c>
      <c r="B972" s="7" t="str">
        <f t="shared" si="54"/>
        <v>2021020</v>
      </c>
      <c r="C972" s="7" t="str">
        <f t="shared" si="53"/>
        <v>033</v>
      </c>
      <c r="D972" s="7" t="str">
        <f>"10"</f>
        <v>10</v>
      </c>
      <c r="E972" s="8">
        <v>61.3</v>
      </c>
      <c r="F972" s="7" t="s">
        <v>7</v>
      </c>
    </row>
    <row r="973" s="2" customFormat="1" ht="14.1" customHeight="1" spans="1:6">
      <c r="A973" s="7" t="str">
        <f>"2102003311"</f>
        <v>2102003311</v>
      </c>
      <c r="B973" s="7" t="str">
        <f t="shared" si="54"/>
        <v>2021020</v>
      </c>
      <c r="C973" s="7" t="str">
        <f t="shared" si="53"/>
        <v>033</v>
      </c>
      <c r="D973" s="7" t="str">
        <f>"11"</f>
        <v>11</v>
      </c>
      <c r="E973" s="8">
        <v>0</v>
      </c>
      <c r="F973" s="7" t="s">
        <v>8</v>
      </c>
    </row>
    <row r="974" s="2" customFormat="1" ht="14.1" customHeight="1" spans="1:6">
      <c r="A974" s="7" t="str">
        <f>"2102003312"</f>
        <v>2102003312</v>
      </c>
      <c r="B974" s="7" t="str">
        <f t="shared" si="54"/>
        <v>2021020</v>
      </c>
      <c r="C974" s="7" t="str">
        <f t="shared" si="53"/>
        <v>033</v>
      </c>
      <c r="D974" s="7" t="str">
        <f>"12"</f>
        <v>12</v>
      </c>
      <c r="E974" s="8">
        <v>66.8</v>
      </c>
      <c r="F974" s="7" t="s">
        <v>7</v>
      </c>
    </row>
    <row r="975" s="2" customFormat="1" ht="14.1" customHeight="1" spans="1:6">
      <c r="A975" s="7" t="str">
        <f>"2102003313"</f>
        <v>2102003313</v>
      </c>
      <c r="B975" s="7" t="str">
        <f t="shared" si="54"/>
        <v>2021020</v>
      </c>
      <c r="C975" s="7" t="str">
        <f t="shared" si="53"/>
        <v>033</v>
      </c>
      <c r="D975" s="7" t="str">
        <f>"13"</f>
        <v>13</v>
      </c>
      <c r="E975" s="8">
        <v>62.4</v>
      </c>
      <c r="F975" s="7" t="s">
        <v>7</v>
      </c>
    </row>
    <row r="976" s="2" customFormat="1" ht="14.1" customHeight="1" spans="1:6">
      <c r="A976" s="7" t="str">
        <f>"2102003314"</f>
        <v>2102003314</v>
      </c>
      <c r="B976" s="7" t="str">
        <f t="shared" si="54"/>
        <v>2021020</v>
      </c>
      <c r="C976" s="7" t="str">
        <f t="shared" si="53"/>
        <v>033</v>
      </c>
      <c r="D976" s="7" t="str">
        <f>"14"</f>
        <v>14</v>
      </c>
      <c r="E976" s="8">
        <v>69.7</v>
      </c>
      <c r="F976" s="7" t="s">
        <v>7</v>
      </c>
    </row>
    <row r="977" s="2" customFormat="1" ht="14.1" customHeight="1" spans="1:6">
      <c r="A977" s="7" t="str">
        <f>"2102003315"</f>
        <v>2102003315</v>
      </c>
      <c r="B977" s="7" t="str">
        <f t="shared" si="54"/>
        <v>2021020</v>
      </c>
      <c r="C977" s="7" t="str">
        <f t="shared" si="53"/>
        <v>033</v>
      </c>
      <c r="D977" s="7" t="str">
        <f>"15"</f>
        <v>15</v>
      </c>
      <c r="E977" s="8">
        <v>0</v>
      </c>
      <c r="F977" s="7" t="s">
        <v>8</v>
      </c>
    </row>
    <row r="978" s="2" customFormat="1" ht="14.1" customHeight="1" spans="1:6">
      <c r="A978" s="7" t="str">
        <f>"2102003316"</f>
        <v>2102003316</v>
      </c>
      <c r="B978" s="7" t="str">
        <f t="shared" si="54"/>
        <v>2021020</v>
      </c>
      <c r="C978" s="7" t="str">
        <f t="shared" si="53"/>
        <v>033</v>
      </c>
      <c r="D978" s="7" t="str">
        <f>"16"</f>
        <v>16</v>
      </c>
      <c r="E978" s="8">
        <v>74.5</v>
      </c>
      <c r="F978" s="7" t="s">
        <v>7</v>
      </c>
    </row>
    <row r="979" s="2" customFormat="1" ht="14.1" customHeight="1" spans="1:6">
      <c r="A979" s="7" t="str">
        <f>"2102003317"</f>
        <v>2102003317</v>
      </c>
      <c r="B979" s="7" t="str">
        <f t="shared" si="54"/>
        <v>2021020</v>
      </c>
      <c r="C979" s="7" t="str">
        <f t="shared" si="53"/>
        <v>033</v>
      </c>
      <c r="D979" s="7" t="str">
        <f>"17"</f>
        <v>17</v>
      </c>
      <c r="E979" s="8">
        <v>62.2</v>
      </c>
      <c r="F979" s="7" t="s">
        <v>7</v>
      </c>
    </row>
    <row r="980" s="2" customFormat="1" ht="14.1" customHeight="1" spans="1:6">
      <c r="A980" s="7" t="str">
        <f>"2102003318"</f>
        <v>2102003318</v>
      </c>
      <c r="B980" s="7" t="str">
        <f t="shared" si="54"/>
        <v>2021020</v>
      </c>
      <c r="C980" s="7" t="str">
        <f t="shared" si="53"/>
        <v>033</v>
      </c>
      <c r="D980" s="7" t="str">
        <f>"18"</f>
        <v>18</v>
      </c>
      <c r="E980" s="8">
        <v>70.6</v>
      </c>
      <c r="F980" s="7" t="s">
        <v>7</v>
      </c>
    </row>
    <row r="981" s="2" customFormat="1" ht="14.1" customHeight="1" spans="1:6">
      <c r="A981" s="7" t="str">
        <f>"2102003319"</f>
        <v>2102003319</v>
      </c>
      <c r="B981" s="7" t="str">
        <f t="shared" si="54"/>
        <v>2021020</v>
      </c>
      <c r="C981" s="7" t="str">
        <f t="shared" si="53"/>
        <v>033</v>
      </c>
      <c r="D981" s="7" t="str">
        <f>"19"</f>
        <v>19</v>
      </c>
      <c r="E981" s="8">
        <v>0</v>
      </c>
      <c r="F981" s="7" t="s">
        <v>8</v>
      </c>
    </row>
    <row r="982" s="2" customFormat="1" ht="14.1" customHeight="1" spans="1:6">
      <c r="A982" s="7" t="str">
        <f>"2102003320"</f>
        <v>2102003320</v>
      </c>
      <c r="B982" s="7" t="str">
        <f t="shared" si="54"/>
        <v>2021020</v>
      </c>
      <c r="C982" s="7" t="str">
        <f t="shared" si="53"/>
        <v>033</v>
      </c>
      <c r="D982" s="7" t="str">
        <f>"20"</f>
        <v>20</v>
      </c>
      <c r="E982" s="8">
        <v>65.9</v>
      </c>
      <c r="F982" s="7" t="s">
        <v>7</v>
      </c>
    </row>
    <row r="983" s="2" customFormat="1" ht="14.1" customHeight="1" spans="1:6">
      <c r="A983" s="7" t="str">
        <f>"2102003321"</f>
        <v>2102003321</v>
      </c>
      <c r="B983" s="7" t="str">
        <f t="shared" si="54"/>
        <v>2021020</v>
      </c>
      <c r="C983" s="7" t="str">
        <f t="shared" si="53"/>
        <v>033</v>
      </c>
      <c r="D983" s="7" t="str">
        <f>"21"</f>
        <v>21</v>
      </c>
      <c r="E983" s="8">
        <v>49.3</v>
      </c>
      <c r="F983" s="7" t="s">
        <v>7</v>
      </c>
    </row>
    <row r="984" s="2" customFormat="1" ht="14.1" customHeight="1" spans="1:6">
      <c r="A984" s="7" t="str">
        <f>"2102003322"</f>
        <v>2102003322</v>
      </c>
      <c r="B984" s="7" t="str">
        <f t="shared" si="54"/>
        <v>2021020</v>
      </c>
      <c r="C984" s="7" t="str">
        <f t="shared" si="53"/>
        <v>033</v>
      </c>
      <c r="D984" s="7" t="str">
        <f>"22"</f>
        <v>22</v>
      </c>
      <c r="E984" s="8">
        <v>61.2</v>
      </c>
      <c r="F984" s="7" t="s">
        <v>7</v>
      </c>
    </row>
    <row r="985" s="2" customFormat="1" ht="14.1" customHeight="1" spans="1:6">
      <c r="A985" s="7" t="str">
        <f>"2102003323"</f>
        <v>2102003323</v>
      </c>
      <c r="B985" s="7" t="str">
        <f t="shared" si="54"/>
        <v>2021020</v>
      </c>
      <c r="C985" s="7" t="str">
        <f t="shared" si="53"/>
        <v>033</v>
      </c>
      <c r="D985" s="7" t="str">
        <f>"23"</f>
        <v>23</v>
      </c>
      <c r="E985" s="8">
        <v>0</v>
      </c>
      <c r="F985" s="7" t="s">
        <v>8</v>
      </c>
    </row>
    <row r="986" s="2" customFormat="1" ht="14.1" customHeight="1" spans="1:6">
      <c r="A986" s="7" t="str">
        <f>"2102003324"</f>
        <v>2102003324</v>
      </c>
      <c r="B986" s="7" t="str">
        <f t="shared" si="54"/>
        <v>2021020</v>
      </c>
      <c r="C986" s="7" t="str">
        <f t="shared" si="53"/>
        <v>033</v>
      </c>
      <c r="D986" s="7" t="str">
        <f>"24"</f>
        <v>24</v>
      </c>
      <c r="E986" s="8">
        <v>66.7</v>
      </c>
      <c r="F986" s="7" t="s">
        <v>7</v>
      </c>
    </row>
    <row r="987" s="2" customFormat="1" ht="14.1" customHeight="1" spans="1:6">
      <c r="A987" s="7" t="str">
        <f>"2102003325"</f>
        <v>2102003325</v>
      </c>
      <c r="B987" s="7" t="str">
        <f t="shared" si="54"/>
        <v>2021020</v>
      </c>
      <c r="C987" s="7" t="str">
        <f t="shared" si="53"/>
        <v>033</v>
      </c>
      <c r="D987" s="7" t="str">
        <f>"25"</f>
        <v>25</v>
      </c>
      <c r="E987" s="8">
        <v>61.5</v>
      </c>
      <c r="F987" s="7" t="s">
        <v>7</v>
      </c>
    </row>
    <row r="988" s="2" customFormat="1" ht="14.1" customHeight="1" spans="1:6">
      <c r="A988" s="7" t="str">
        <f>"2102003326"</f>
        <v>2102003326</v>
      </c>
      <c r="B988" s="7" t="str">
        <f t="shared" si="54"/>
        <v>2021020</v>
      </c>
      <c r="C988" s="7" t="str">
        <f t="shared" si="53"/>
        <v>033</v>
      </c>
      <c r="D988" s="7" t="str">
        <f>"26"</f>
        <v>26</v>
      </c>
      <c r="E988" s="8">
        <v>72.9</v>
      </c>
      <c r="F988" s="7" t="s">
        <v>7</v>
      </c>
    </row>
    <row r="989" s="2" customFormat="1" ht="14.1" customHeight="1" spans="1:6">
      <c r="A989" s="7" t="str">
        <f>"2102003327"</f>
        <v>2102003327</v>
      </c>
      <c r="B989" s="7" t="str">
        <f t="shared" si="54"/>
        <v>2021020</v>
      </c>
      <c r="C989" s="7" t="str">
        <f t="shared" si="53"/>
        <v>033</v>
      </c>
      <c r="D989" s="7" t="str">
        <f>"27"</f>
        <v>27</v>
      </c>
      <c r="E989" s="8">
        <v>0</v>
      </c>
      <c r="F989" s="7" t="s">
        <v>8</v>
      </c>
    </row>
    <row r="990" s="2" customFormat="1" ht="14.1" customHeight="1" spans="1:6">
      <c r="A990" s="7" t="str">
        <f>"2102003328"</f>
        <v>2102003328</v>
      </c>
      <c r="B990" s="7" t="str">
        <f t="shared" si="54"/>
        <v>2021020</v>
      </c>
      <c r="C990" s="7" t="str">
        <f t="shared" si="53"/>
        <v>033</v>
      </c>
      <c r="D990" s="7" t="str">
        <f>"28"</f>
        <v>28</v>
      </c>
      <c r="E990" s="8">
        <v>64.6</v>
      </c>
      <c r="F990" s="7" t="s">
        <v>7</v>
      </c>
    </row>
    <row r="991" s="2" customFormat="1" ht="14.1" customHeight="1" spans="1:6">
      <c r="A991" s="7" t="str">
        <f>"2102003329"</f>
        <v>2102003329</v>
      </c>
      <c r="B991" s="7" t="str">
        <f t="shared" si="54"/>
        <v>2021020</v>
      </c>
      <c r="C991" s="7" t="str">
        <f t="shared" si="53"/>
        <v>033</v>
      </c>
      <c r="D991" s="7" t="str">
        <f>"29"</f>
        <v>29</v>
      </c>
      <c r="E991" s="8">
        <v>0</v>
      </c>
      <c r="F991" s="7" t="s">
        <v>8</v>
      </c>
    </row>
    <row r="992" s="2" customFormat="1" ht="14.1" customHeight="1" spans="1:6">
      <c r="A992" s="7" t="str">
        <f>"2102003330"</f>
        <v>2102003330</v>
      </c>
      <c r="B992" s="7" t="str">
        <f t="shared" si="54"/>
        <v>2021020</v>
      </c>
      <c r="C992" s="7" t="str">
        <f t="shared" si="53"/>
        <v>033</v>
      </c>
      <c r="D992" s="7" t="str">
        <f>"30"</f>
        <v>30</v>
      </c>
      <c r="E992" s="8">
        <v>47.6</v>
      </c>
      <c r="F992" s="7" t="s">
        <v>7</v>
      </c>
    </row>
    <row r="993" s="2" customFormat="1" ht="14.1" customHeight="1" spans="1:6">
      <c r="A993" s="7" t="str">
        <f>"2102003401"</f>
        <v>2102003401</v>
      </c>
      <c r="B993" s="7" t="str">
        <f t="shared" si="54"/>
        <v>2021020</v>
      </c>
      <c r="C993" s="7" t="str">
        <f t="shared" ref="C993:C1022" si="55">"034"</f>
        <v>034</v>
      </c>
      <c r="D993" s="7" t="str">
        <f>"01"</f>
        <v>01</v>
      </c>
      <c r="E993" s="8">
        <v>60.4</v>
      </c>
      <c r="F993" s="7" t="s">
        <v>7</v>
      </c>
    </row>
    <row r="994" s="2" customFormat="1" ht="14.1" customHeight="1" spans="1:6">
      <c r="A994" s="7" t="str">
        <f>"2102003402"</f>
        <v>2102003402</v>
      </c>
      <c r="B994" s="7" t="str">
        <f t="shared" si="54"/>
        <v>2021020</v>
      </c>
      <c r="C994" s="7" t="str">
        <f t="shared" si="55"/>
        <v>034</v>
      </c>
      <c r="D994" s="7" t="str">
        <f>"02"</f>
        <v>02</v>
      </c>
      <c r="E994" s="8">
        <v>70.3</v>
      </c>
      <c r="F994" s="7" t="s">
        <v>7</v>
      </c>
    </row>
    <row r="995" s="2" customFormat="1" ht="14.1" customHeight="1" spans="1:6">
      <c r="A995" s="7" t="str">
        <f>"2102003403"</f>
        <v>2102003403</v>
      </c>
      <c r="B995" s="7" t="str">
        <f t="shared" si="54"/>
        <v>2021020</v>
      </c>
      <c r="C995" s="7" t="str">
        <f t="shared" si="55"/>
        <v>034</v>
      </c>
      <c r="D995" s="7" t="str">
        <f>"03"</f>
        <v>03</v>
      </c>
      <c r="E995" s="8">
        <v>74</v>
      </c>
      <c r="F995" s="7" t="s">
        <v>7</v>
      </c>
    </row>
    <row r="996" s="2" customFormat="1" ht="14.1" customHeight="1" spans="1:6">
      <c r="A996" s="7" t="str">
        <f>"2102003404"</f>
        <v>2102003404</v>
      </c>
      <c r="B996" s="7" t="str">
        <f t="shared" si="54"/>
        <v>2021020</v>
      </c>
      <c r="C996" s="7" t="str">
        <f t="shared" si="55"/>
        <v>034</v>
      </c>
      <c r="D996" s="7" t="str">
        <f>"04"</f>
        <v>04</v>
      </c>
      <c r="E996" s="8">
        <v>0</v>
      </c>
      <c r="F996" s="7" t="s">
        <v>8</v>
      </c>
    </row>
    <row r="997" s="2" customFormat="1" ht="14.1" customHeight="1" spans="1:6">
      <c r="A997" s="7" t="str">
        <f>"2102003405"</f>
        <v>2102003405</v>
      </c>
      <c r="B997" s="7" t="str">
        <f t="shared" si="54"/>
        <v>2021020</v>
      </c>
      <c r="C997" s="7" t="str">
        <f t="shared" si="55"/>
        <v>034</v>
      </c>
      <c r="D997" s="7" t="str">
        <f>"05"</f>
        <v>05</v>
      </c>
      <c r="E997" s="8">
        <v>66.8</v>
      </c>
      <c r="F997" s="7" t="s">
        <v>7</v>
      </c>
    </row>
    <row r="998" s="2" customFormat="1" ht="14.1" customHeight="1" spans="1:6">
      <c r="A998" s="7" t="str">
        <f>"2102003406"</f>
        <v>2102003406</v>
      </c>
      <c r="B998" s="7" t="str">
        <f t="shared" si="54"/>
        <v>2021020</v>
      </c>
      <c r="C998" s="7" t="str">
        <f t="shared" si="55"/>
        <v>034</v>
      </c>
      <c r="D998" s="7" t="str">
        <f>"06"</f>
        <v>06</v>
      </c>
      <c r="E998" s="8">
        <v>64.4</v>
      </c>
      <c r="F998" s="7" t="s">
        <v>7</v>
      </c>
    </row>
    <row r="999" s="2" customFormat="1" ht="14.1" customHeight="1" spans="1:6">
      <c r="A999" s="7" t="str">
        <f>"2102003407"</f>
        <v>2102003407</v>
      </c>
      <c r="B999" s="7" t="str">
        <f t="shared" si="54"/>
        <v>2021020</v>
      </c>
      <c r="C999" s="7" t="str">
        <f t="shared" si="55"/>
        <v>034</v>
      </c>
      <c r="D999" s="7" t="str">
        <f>"07"</f>
        <v>07</v>
      </c>
      <c r="E999" s="8">
        <v>0</v>
      </c>
      <c r="F999" s="7" t="s">
        <v>8</v>
      </c>
    </row>
    <row r="1000" s="2" customFormat="1" ht="14.1" customHeight="1" spans="1:6">
      <c r="A1000" s="7" t="str">
        <f>"2102003408"</f>
        <v>2102003408</v>
      </c>
      <c r="B1000" s="7" t="str">
        <f t="shared" si="54"/>
        <v>2021020</v>
      </c>
      <c r="C1000" s="7" t="str">
        <f t="shared" si="55"/>
        <v>034</v>
      </c>
      <c r="D1000" s="7" t="str">
        <f>"08"</f>
        <v>08</v>
      </c>
      <c r="E1000" s="8">
        <v>63.1</v>
      </c>
      <c r="F1000" s="7" t="s">
        <v>7</v>
      </c>
    </row>
    <row r="1001" s="2" customFormat="1" ht="14.1" customHeight="1" spans="1:6">
      <c r="A1001" s="7" t="str">
        <f>"2102003409"</f>
        <v>2102003409</v>
      </c>
      <c r="B1001" s="7" t="str">
        <f t="shared" si="54"/>
        <v>2021020</v>
      </c>
      <c r="C1001" s="7" t="str">
        <f t="shared" si="55"/>
        <v>034</v>
      </c>
      <c r="D1001" s="7" t="str">
        <f>"09"</f>
        <v>09</v>
      </c>
      <c r="E1001" s="8">
        <v>0</v>
      </c>
      <c r="F1001" s="7" t="s">
        <v>8</v>
      </c>
    </row>
    <row r="1002" s="2" customFormat="1" ht="14.1" customHeight="1" spans="1:6">
      <c r="A1002" s="7" t="str">
        <f>"2102003410"</f>
        <v>2102003410</v>
      </c>
      <c r="B1002" s="7" t="str">
        <f t="shared" si="54"/>
        <v>2021020</v>
      </c>
      <c r="C1002" s="7" t="str">
        <f t="shared" si="55"/>
        <v>034</v>
      </c>
      <c r="D1002" s="7" t="str">
        <f>"10"</f>
        <v>10</v>
      </c>
      <c r="E1002" s="8">
        <v>0</v>
      </c>
      <c r="F1002" s="7" t="s">
        <v>8</v>
      </c>
    </row>
    <row r="1003" s="2" customFormat="1" ht="14.1" customHeight="1" spans="1:6">
      <c r="A1003" s="7" t="str">
        <f>"2102003411"</f>
        <v>2102003411</v>
      </c>
      <c r="B1003" s="7" t="str">
        <f t="shared" si="54"/>
        <v>2021020</v>
      </c>
      <c r="C1003" s="7" t="str">
        <f t="shared" si="55"/>
        <v>034</v>
      </c>
      <c r="D1003" s="7" t="str">
        <f>"11"</f>
        <v>11</v>
      </c>
      <c r="E1003" s="8">
        <v>0</v>
      </c>
      <c r="F1003" s="7" t="s">
        <v>8</v>
      </c>
    </row>
    <row r="1004" s="2" customFormat="1" ht="14.1" customHeight="1" spans="1:6">
      <c r="A1004" s="7" t="str">
        <f>"2102003412"</f>
        <v>2102003412</v>
      </c>
      <c r="B1004" s="7" t="str">
        <f t="shared" si="54"/>
        <v>2021020</v>
      </c>
      <c r="C1004" s="7" t="str">
        <f t="shared" si="55"/>
        <v>034</v>
      </c>
      <c r="D1004" s="7" t="str">
        <f>"12"</f>
        <v>12</v>
      </c>
      <c r="E1004" s="8">
        <v>65.2</v>
      </c>
      <c r="F1004" s="7" t="s">
        <v>7</v>
      </c>
    </row>
    <row r="1005" s="2" customFormat="1" ht="14.1" customHeight="1" spans="1:6">
      <c r="A1005" s="7" t="str">
        <f>"2102003413"</f>
        <v>2102003413</v>
      </c>
      <c r="B1005" s="7" t="str">
        <f t="shared" si="54"/>
        <v>2021020</v>
      </c>
      <c r="C1005" s="7" t="str">
        <f t="shared" si="55"/>
        <v>034</v>
      </c>
      <c r="D1005" s="7" t="str">
        <f>"13"</f>
        <v>13</v>
      </c>
      <c r="E1005" s="8">
        <v>62</v>
      </c>
      <c r="F1005" s="7" t="s">
        <v>7</v>
      </c>
    </row>
    <row r="1006" s="2" customFormat="1" ht="14.1" customHeight="1" spans="1:6">
      <c r="A1006" s="7" t="str">
        <f>"2102003414"</f>
        <v>2102003414</v>
      </c>
      <c r="B1006" s="7" t="str">
        <f t="shared" si="54"/>
        <v>2021020</v>
      </c>
      <c r="C1006" s="7" t="str">
        <f t="shared" si="55"/>
        <v>034</v>
      </c>
      <c r="D1006" s="7" t="str">
        <f>"14"</f>
        <v>14</v>
      </c>
      <c r="E1006" s="8">
        <v>0</v>
      </c>
      <c r="F1006" s="7" t="s">
        <v>8</v>
      </c>
    </row>
    <row r="1007" s="2" customFormat="1" ht="14.1" customHeight="1" spans="1:6">
      <c r="A1007" s="7" t="str">
        <f>"2102003415"</f>
        <v>2102003415</v>
      </c>
      <c r="B1007" s="7" t="str">
        <f t="shared" si="54"/>
        <v>2021020</v>
      </c>
      <c r="C1007" s="7" t="str">
        <f t="shared" si="55"/>
        <v>034</v>
      </c>
      <c r="D1007" s="7" t="str">
        <f>"15"</f>
        <v>15</v>
      </c>
      <c r="E1007" s="8">
        <v>0</v>
      </c>
      <c r="F1007" s="7" t="s">
        <v>8</v>
      </c>
    </row>
    <row r="1008" s="2" customFormat="1" ht="14.1" customHeight="1" spans="1:6">
      <c r="A1008" s="7" t="str">
        <f>"2102003416"</f>
        <v>2102003416</v>
      </c>
      <c r="B1008" s="7" t="str">
        <f t="shared" si="54"/>
        <v>2021020</v>
      </c>
      <c r="C1008" s="7" t="str">
        <f t="shared" si="55"/>
        <v>034</v>
      </c>
      <c r="D1008" s="7" t="str">
        <f>"16"</f>
        <v>16</v>
      </c>
      <c r="E1008" s="8">
        <v>53.8</v>
      </c>
      <c r="F1008" s="7" t="s">
        <v>7</v>
      </c>
    </row>
    <row r="1009" s="2" customFormat="1" ht="14.1" customHeight="1" spans="1:6">
      <c r="A1009" s="7" t="str">
        <f>"2102003417"</f>
        <v>2102003417</v>
      </c>
      <c r="B1009" s="7" t="str">
        <f t="shared" si="54"/>
        <v>2021020</v>
      </c>
      <c r="C1009" s="7" t="str">
        <f t="shared" si="55"/>
        <v>034</v>
      </c>
      <c r="D1009" s="7" t="str">
        <f>"17"</f>
        <v>17</v>
      </c>
      <c r="E1009" s="8">
        <v>71.8</v>
      </c>
      <c r="F1009" s="7" t="s">
        <v>7</v>
      </c>
    </row>
    <row r="1010" s="2" customFormat="1" ht="14.1" customHeight="1" spans="1:6">
      <c r="A1010" s="7" t="str">
        <f>"2102003418"</f>
        <v>2102003418</v>
      </c>
      <c r="B1010" s="7" t="str">
        <f t="shared" si="54"/>
        <v>2021020</v>
      </c>
      <c r="C1010" s="7" t="str">
        <f t="shared" si="55"/>
        <v>034</v>
      </c>
      <c r="D1010" s="7" t="str">
        <f>"18"</f>
        <v>18</v>
      </c>
      <c r="E1010" s="8">
        <v>74.3</v>
      </c>
      <c r="F1010" s="7" t="s">
        <v>7</v>
      </c>
    </row>
    <row r="1011" s="2" customFormat="1" ht="14.1" customHeight="1" spans="1:6">
      <c r="A1011" s="7" t="str">
        <f>"2102003419"</f>
        <v>2102003419</v>
      </c>
      <c r="B1011" s="7" t="str">
        <f t="shared" si="54"/>
        <v>2021020</v>
      </c>
      <c r="C1011" s="7" t="str">
        <f t="shared" si="55"/>
        <v>034</v>
      </c>
      <c r="D1011" s="7" t="str">
        <f>"19"</f>
        <v>19</v>
      </c>
      <c r="E1011" s="8">
        <v>0</v>
      </c>
      <c r="F1011" s="7" t="s">
        <v>8</v>
      </c>
    </row>
    <row r="1012" s="2" customFormat="1" ht="14.1" customHeight="1" spans="1:6">
      <c r="A1012" s="7" t="str">
        <f>"2102003420"</f>
        <v>2102003420</v>
      </c>
      <c r="B1012" s="7" t="str">
        <f t="shared" si="54"/>
        <v>2021020</v>
      </c>
      <c r="C1012" s="7" t="str">
        <f t="shared" si="55"/>
        <v>034</v>
      </c>
      <c r="D1012" s="7" t="str">
        <f>"20"</f>
        <v>20</v>
      </c>
      <c r="E1012" s="8">
        <v>67.4</v>
      </c>
      <c r="F1012" s="7" t="s">
        <v>7</v>
      </c>
    </row>
    <row r="1013" s="2" customFormat="1" ht="14.1" customHeight="1" spans="1:6">
      <c r="A1013" s="7" t="str">
        <f>"2102003421"</f>
        <v>2102003421</v>
      </c>
      <c r="B1013" s="7" t="str">
        <f t="shared" si="54"/>
        <v>2021020</v>
      </c>
      <c r="C1013" s="7" t="str">
        <f t="shared" si="55"/>
        <v>034</v>
      </c>
      <c r="D1013" s="7" t="str">
        <f>"21"</f>
        <v>21</v>
      </c>
      <c r="E1013" s="8">
        <v>58.2</v>
      </c>
      <c r="F1013" s="7" t="s">
        <v>7</v>
      </c>
    </row>
    <row r="1014" s="2" customFormat="1" ht="14.1" customHeight="1" spans="1:6">
      <c r="A1014" s="7" t="str">
        <f>"2102003422"</f>
        <v>2102003422</v>
      </c>
      <c r="B1014" s="7" t="str">
        <f t="shared" si="54"/>
        <v>2021020</v>
      </c>
      <c r="C1014" s="7" t="str">
        <f t="shared" si="55"/>
        <v>034</v>
      </c>
      <c r="D1014" s="7" t="str">
        <f>"22"</f>
        <v>22</v>
      </c>
      <c r="E1014" s="8">
        <v>70.6</v>
      </c>
      <c r="F1014" s="7" t="s">
        <v>7</v>
      </c>
    </row>
    <row r="1015" s="2" customFormat="1" ht="14.1" customHeight="1" spans="1:6">
      <c r="A1015" s="7" t="str">
        <f>"2102003423"</f>
        <v>2102003423</v>
      </c>
      <c r="B1015" s="7" t="str">
        <f t="shared" si="54"/>
        <v>2021020</v>
      </c>
      <c r="C1015" s="7" t="str">
        <f t="shared" si="55"/>
        <v>034</v>
      </c>
      <c r="D1015" s="7" t="str">
        <f>"23"</f>
        <v>23</v>
      </c>
      <c r="E1015" s="8">
        <v>65.8</v>
      </c>
      <c r="F1015" s="7" t="s">
        <v>7</v>
      </c>
    </row>
    <row r="1016" s="2" customFormat="1" ht="14.1" customHeight="1" spans="1:6">
      <c r="A1016" s="7" t="str">
        <f>"2102003424"</f>
        <v>2102003424</v>
      </c>
      <c r="B1016" s="7" t="str">
        <f t="shared" si="54"/>
        <v>2021020</v>
      </c>
      <c r="C1016" s="7" t="str">
        <f t="shared" si="55"/>
        <v>034</v>
      </c>
      <c r="D1016" s="7" t="str">
        <f>"24"</f>
        <v>24</v>
      </c>
      <c r="E1016" s="8">
        <v>57.8</v>
      </c>
      <c r="F1016" s="7" t="s">
        <v>7</v>
      </c>
    </row>
    <row r="1017" s="2" customFormat="1" ht="14.1" customHeight="1" spans="1:6">
      <c r="A1017" s="7" t="str">
        <f>"2102003425"</f>
        <v>2102003425</v>
      </c>
      <c r="B1017" s="7" t="str">
        <f t="shared" si="54"/>
        <v>2021020</v>
      </c>
      <c r="C1017" s="7" t="str">
        <f t="shared" si="55"/>
        <v>034</v>
      </c>
      <c r="D1017" s="7" t="str">
        <f>"25"</f>
        <v>25</v>
      </c>
      <c r="E1017" s="8">
        <v>69.3</v>
      </c>
      <c r="F1017" s="7" t="s">
        <v>7</v>
      </c>
    </row>
    <row r="1018" s="2" customFormat="1" ht="14.1" customHeight="1" spans="1:6">
      <c r="A1018" s="7" t="str">
        <f>"2102003426"</f>
        <v>2102003426</v>
      </c>
      <c r="B1018" s="7" t="str">
        <f t="shared" si="54"/>
        <v>2021020</v>
      </c>
      <c r="C1018" s="7" t="str">
        <f t="shared" si="55"/>
        <v>034</v>
      </c>
      <c r="D1018" s="7" t="str">
        <f>"26"</f>
        <v>26</v>
      </c>
      <c r="E1018" s="8">
        <v>0</v>
      </c>
      <c r="F1018" s="7" t="s">
        <v>8</v>
      </c>
    </row>
    <row r="1019" s="2" customFormat="1" ht="14.1" customHeight="1" spans="1:6">
      <c r="A1019" s="7" t="str">
        <f>"2102003427"</f>
        <v>2102003427</v>
      </c>
      <c r="B1019" s="7" t="str">
        <f t="shared" si="54"/>
        <v>2021020</v>
      </c>
      <c r="C1019" s="7" t="str">
        <f t="shared" si="55"/>
        <v>034</v>
      </c>
      <c r="D1019" s="7" t="str">
        <f>"27"</f>
        <v>27</v>
      </c>
      <c r="E1019" s="8">
        <v>71.3</v>
      </c>
      <c r="F1019" s="7" t="s">
        <v>7</v>
      </c>
    </row>
    <row r="1020" s="2" customFormat="1" ht="14.1" customHeight="1" spans="1:6">
      <c r="A1020" s="7" t="str">
        <f>"2102003428"</f>
        <v>2102003428</v>
      </c>
      <c r="B1020" s="7" t="str">
        <f t="shared" si="54"/>
        <v>2021020</v>
      </c>
      <c r="C1020" s="7" t="str">
        <f t="shared" si="55"/>
        <v>034</v>
      </c>
      <c r="D1020" s="7" t="str">
        <f>"28"</f>
        <v>28</v>
      </c>
      <c r="E1020" s="8">
        <v>0</v>
      </c>
      <c r="F1020" s="7" t="s">
        <v>8</v>
      </c>
    </row>
    <row r="1021" s="2" customFormat="1" ht="14.1" customHeight="1" spans="1:6">
      <c r="A1021" s="7" t="str">
        <f>"2102003429"</f>
        <v>2102003429</v>
      </c>
      <c r="B1021" s="7" t="str">
        <f t="shared" si="54"/>
        <v>2021020</v>
      </c>
      <c r="C1021" s="7" t="str">
        <f t="shared" si="55"/>
        <v>034</v>
      </c>
      <c r="D1021" s="7" t="str">
        <f>"29"</f>
        <v>29</v>
      </c>
      <c r="E1021" s="8">
        <v>59.2</v>
      </c>
      <c r="F1021" s="7" t="s">
        <v>7</v>
      </c>
    </row>
    <row r="1022" s="2" customFormat="1" ht="14.1" customHeight="1" spans="1:6">
      <c r="A1022" s="7" t="str">
        <f>"2102003430"</f>
        <v>2102003430</v>
      </c>
      <c r="B1022" s="7" t="str">
        <f t="shared" si="54"/>
        <v>2021020</v>
      </c>
      <c r="C1022" s="7" t="str">
        <f t="shared" si="55"/>
        <v>034</v>
      </c>
      <c r="D1022" s="7" t="str">
        <f>"30"</f>
        <v>30</v>
      </c>
      <c r="E1022" s="8">
        <v>59.2</v>
      </c>
      <c r="F1022" s="7" t="s">
        <v>7</v>
      </c>
    </row>
    <row r="1023" s="2" customFormat="1" ht="14.1" customHeight="1" spans="1:6">
      <c r="A1023" s="7" t="str">
        <f>"2102003501"</f>
        <v>2102003501</v>
      </c>
      <c r="B1023" s="7" t="str">
        <f t="shared" si="54"/>
        <v>2021020</v>
      </c>
      <c r="C1023" s="7" t="str">
        <f t="shared" ref="C1023:C1052" si="56">"035"</f>
        <v>035</v>
      </c>
      <c r="D1023" s="7" t="str">
        <f>"01"</f>
        <v>01</v>
      </c>
      <c r="E1023" s="8">
        <v>0</v>
      </c>
      <c r="F1023" s="7" t="s">
        <v>8</v>
      </c>
    </row>
    <row r="1024" s="2" customFormat="1" ht="14.1" customHeight="1" spans="1:6">
      <c r="A1024" s="7" t="str">
        <f>"2102003502"</f>
        <v>2102003502</v>
      </c>
      <c r="B1024" s="7" t="str">
        <f t="shared" si="54"/>
        <v>2021020</v>
      </c>
      <c r="C1024" s="7" t="str">
        <f t="shared" si="56"/>
        <v>035</v>
      </c>
      <c r="D1024" s="7" t="str">
        <f>"02"</f>
        <v>02</v>
      </c>
      <c r="E1024" s="8">
        <v>74.7</v>
      </c>
      <c r="F1024" s="7" t="s">
        <v>7</v>
      </c>
    </row>
    <row r="1025" s="2" customFormat="1" ht="14.1" customHeight="1" spans="1:6">
      <c r="A1025" s="7" t="str">
        <f>"2102003503"</f>
        <v>2102003503</v>
      </c>
      <c r="B1025" s="7" t="str">
        <f t="shared" si="54"/>
        <v>2021020</v>
      </c>
      <c r="C1025" s="7" t="str">
        <f t="shared" si="56"/>
        <v>035</v>
      </c>
      <c r="D1025" s="7" t="str">
        <f>"03"</f>
        <v>03</v>
      </c>
      <c r="E1025" s="8">
        <v>61.3</v>
      </c>
      <c r="F1025" s="7" t="s">
        <v>7</v>
      </c>
    </row>
    <row r="1026" s="2" customFormat="1" ht="14.1" customHeight="1" spans="1:6">
      <c r="A1026" s="7" t="str">
        <f>"2102003504"</f>
        <v>2102003504</v>
      </c>
      <c r="B1026" s="7" t="str">
        <f t="shared" si="54"/>
        <v>2021020</v>
      </c>
      <c r="C1026" s="7" t="str">
        <f t="shared" si="56"/>
        <v>035</v>
      </c>
      <c r="D1026" s="7" t="str">
        <f>"04"</f>
        <v>04</v>
      </c>
      <c r="E1026" s="8">
        <v>75.2</v>
      </c>
      <c r="F1026" s="7" t="s">
        <v>7</v>
      </c>
    </row>
    <row r="1027" s="2" customFormat="1" ht="14.1" customHeight="1" spans="1:6">
      <c r="A1027" s="7" t="str">
        <f>"2102003505"</f>
        <v>2102003505</v>
      </c>
      <c r="B1027" s="7" t="str">
        <f t="shared" si="54"/>
        <v>2021020</v>
      </c>
      <c r="C1027" s="7" t="str">
        <f t="shared" si="56"/>
        <v>035</v>
      </c>
      <c r="D1027" s="7" t="str">
        <f>"05"</f>
        <v>05</v>
      </c>
      <c r="E1027" s="8">
        <v>61.9</v>
      </c>
      <c r="F1027" s="7" t="s">
        <v>7</v>
      </c>
    </row>
    <row r="1028" s="2" customFormat="1" ht="14.1" customHeight="1" spans="1:6">
      <c r="A1028" s="7" t="str">
        <f>"2102003506"</f>
        <v>2102003506</v>
      </c>
      <c r="B1028" s="7" t="str">
        <f t="shared" ref="B1028:B1043" si="57">"2021020"</f>
        <v>2021020</v>
      </c>
      <c r="C1028" s="7" t="str">
        <f t="shared" si="56"/>
        <v>035</v>
      </c>
      <c r="D1028" s="7" t="str">
        <f>"06"</f>
        <v>06</v>
      </c>
      <c r="E1028" s="8">
        <v>68.3</v>
      </c>
      <c r="F1028" s="7" t="s">
        <v>7</v>
      </c>
    </row>
    <row r="1029" s="2" customFormat="1" ht="14.1" customHeight="1" spans="1:6">
      <c r="A1029" s="7" t="str">
        <f>"2102003507"</f>
        <v>2102003507</v>
      </c>
      <c r="B1029" s="7" t="str">
        <f t="shared" si="57"/>
        <v>2021020</v>
      </c>
      <c r="C1029" s="7" t="str">
        <f t="shared" si="56"/>
        <v>035</v>
      </c>
      <c r="D1029" s="7" t="str">
        <f>"07"</f>
        <v>07</v>
      </c>
      <c r="E1029" s="8">
        <v>64.9</v>
      </c>
      <c r="F1029" s="7" t="s">
        <v>7</v>
      </c>
    </row>
    <row r="1030" s="2" customFormat="1" ht="14.1" customHeight="1" spans="1:6">
      <c r="A1030" s="7" t="str">
        <f>"2102003508"</f>
        <v>2102003508</v>
      </c>
      <c r="B1030" s="7" t="str">
        <f t="shared" si="57"/>
        <v>2021020</v>
      </c>
      <c r="C1030" s="7" t="str">
        <f t="shared" si="56"/>
        <v>035</v>
      </c>
      <c r="D1030" s="7" t="str">
        <f>"08"</f>
        <v>08</v>
      </c>
      <c r="E1030" s="8">
        <v>66.4</v>
      </c>
      <c r="F1030" s="7" t="s">
        <v>7</v>
      </c>
    </row>
    <row r="1031" s="2" customFormat="1" ht="14.1" customHeight="1" spans="1:6">
      <c r="A1031" s="7" t="str">
        <f>"2102003509"</f>
        <v>2102003509</v>
      </c>
      <c r="B1031" s="7" t="str">
        <f t="shared" si="57"/>
        <v>2021020</v>
      </c>
      <c r="C1031" s="7" t="str">
        <f t="shared" si="56"/>
        <v>035</v>
      </c>
      <c r="D1031" s="7" t="str">
        <f>"09"</f>
        <v>09</v>
      </c>
      <c r="E1031" s="8">
        <v>68.9</v>
      </c>
      <c r="F1031" s="7" t="s">
        <v>7</v>
      </c>
    </row>
    <row r="1032" s="2" customFormat="1" ht="14.1" customHeight="1" spans="1:6">
      <c r="A1032" s="7" t="str">
        <f>"2102003510"</f>
        <v>2102003510</v>
      </c>
      <c r="B1032" s="7" t="str">
        <f t="shared" si="57"/>
        <v>2021020</v>
      </c>
      <c r="C1032" s="7" t="str">
        <f t="shared" si="56"/>
        <v>035</v>
      </c>
      <c r="D1032" s="7" t="str">
        <f>"10"</f>
        <v>10</v>
      </c>
      <c r="E1032" s="8">
        <v>0</v>
      </c>
      <c r="F1032" s="7" t="s">
        <v>8</v>
      </c>
    </row>
    <row r="1033" s="2" customFormat="1" ht="14.1" customHeight="1" spans="1:6">
      <c r="A1033" s="7" t="str">
        <f>"2102003511"</f>
        <v>2102003511</v>
      </c>
      <c r="B1033" s="7" t="str">
        <f t="shared" si="57"/>
        <v>2021020</v>
      </c>
      <c r="C1033" s="7" t="str">
        <f t="shared" si="56"/>
        <v>035</v>
      </c>
      <c r="D1033" s="7" t="str">
        <f>"11"</f>
        <v>11</v>
      </c>
      <c r="E1033" s="8">
        <v>0</v>
      </c>
      <c r="F1033" s="7" t="s">
        <v>8</v>
      </c>
    </row>
    <row r="1034" s="2" customFormat="1" ht="14.1" customHeight="1" spans="1:6">
      <c r="A1034" s="7" t="str">
        <f>"2102003512"</f>
        <v>2102003512</v>
      </c>
      <c r="B1034" s="7" t="str">
        <f t="shared" si="57"/>
        <v>2021020</v>
      </c>
      <c r="C1034" s="7" t="str">
        <f t="shared" si="56"/>
        <v>035</v>
      </c>
      <c r="D1034" s="7" t="str">
        <f>"12"</f>
        <v>12</v>
      </c>
      <c r="E1034" s="8">
        <v>62.1</v>
      </c>
      <c r="F1034" s="7" t="s">
        <v>7</v>
      </c>
    </row>
    <row r="1035" s="2" customFormat="1" ht="14.1" customHeight="1" spans="1:6">
      <c r="A1035" s="7" t="str">
        <f>"2102003513"</f>
        <v>2102003513</v>
      </c>
      <c r="B1035" s="7" t="str">
        <f t="shared" si="57"/>
        <v>2021020</v>
      </c>
      <c r="C1035" s="7" t="str">
        <f t="shared" si="56"/>
        <v>035</v>
      </c>
      <c r="D1035" s="7" t="str">
        <f>"13"</f>
        <v>13</v>
      </c>
      <c r="E1035" s="8">
        <v>63.4</v>
      </c>
      <c r="F1035" s="7" t="s">
        <v>7</v>
      </c>
    </row>
    <row r="1036" s="2" customFormat="1" ht="14.1" customHeight="1" spans="1:6">
      <c r="A1036" s="7" t="str">
        <f>"2102003514"</f>
        <v>2102003514</v>
      </c>
      <c r="B1036" s="7" t="str">
        <f t="shared" si="57"/>
        <v>2021020</v>
      </c>
      <c r="C1036" s="7" t="str">
        <f t="shared" si="56"/>
        <v>035</v>
      </c>
      <c r="D1036" s="7" t="str">
        <f>"14"</f>
        <v>14</v>
      </c>
      <c r="E1036" s="8">
        <v>67.7</v>
      </c>
      <c r="F1036" s="7" t="s">
        <v>7</v>
      </c>
    </row>
    <row r="1037" s="2" customFormat="1" ht="14.1" customHeight="1" spans="1:6">
      <c r="A1037" s="7" t="str">
        <f>"2102003515"</f>
        <v>2102003515</v>
      </c>
      <c r="B1037" s="7" t="str">
        <f t="shared" si="57"/>
        <v>2021020</v>
      </c>
      <c r="C1037" s="7" t="str">
        <f t="shared" si="56"/>
        <v>035</v>
      </c>
      <c r="D1037" s="7" t="str">
        <f>"15"</f>
        <v>15</v>
      </c>
      <c r="E1037" s="8">
        <v>63.7</v>
      </c>
      <c r="F1037" s="7" t="s">
        <v>7</v>
      </c>
    </row>
    <row r="1038" s="2" customFormat="1" ht="14.1" customHeight="1" spans="1:6">
      <c r="A1038" s="7" t="str">
        <f>"2102003516"</f>
        <v>2102003516</v>
      </c>
      <c r="B1038" s="7" t="str">
        <f t="shared" si="57"/>
        <v>2021020</v>
      </c>
      <c r="C1038" s="7" t="str">
        <f t="shared" si="56"/>
        <v>035</v>
      </c>
      <c r="D1038" s="7" t="str">
        <f>"16"</f>
        <v>16</v>
      </c>
      <c r="E1038" s="8">
        <v>0</v>
      </c>
      <c r="F1038" s="7" t="s">
        <v>8</v>
      </c>
    </row>
    <row r="1039" s="2" customFormat="1" ht="14.1" customHeight="1" spans="1:6">
      <c r="A1039" s="7" t="str">
        <f>"2102003517"</f>
        <v>2102003517</v>
      </c>
      <c r="B1039" s="7" t="str">
        <f t="shared" si="57"/>
        <v>2021020</v>
      </c>
      <c r="C1039" s="7" t="str">
        <f t="shared" si="56"/>
        <v>035</v>
      </c>
      <c r="D1039" s="7" t="str">
        <f>"17"</f>
        <v>17</v>
      </c>
      <c r="E1039" s="8">
        <v>0</v>
      </c>
      <c r="F1039" s="7" t="s">
        <v>8</v>
      </c>
    </row>
    <row r="1040" s="2" customFormat="1" ht="14.1" customHeight="1" spans="1:6">
      <c r="A1040" s="7" t="str">
        <f>"2102003518"</f>
        <v>2102003518</v>
      </c>
      <c r="B1040" s="7" t="str">
        <f t="shared" si="57"/>
        <v>2021020</v>
      </c>
      <c r="C1040" s="7" t="str">
        <f t="shared" si="56"/>
        <v>035</v>
      </c>
      <c r="D1040" s="7" t="str">
        <f>"18"</f>
        <v>18</v>
      </c>
      <c r="E1040" s="8">
        <v>61.1</v>
      </c>
      <c r="F1040" s="7" t="s">
        <v>7</v>
      </c>
    </row>
    <row r="1041" s="2" customFormat="1" ht="14.1" customHeight="1" spans="1:6">
      <c r="A1041" s="7" t="str">
        <f>"2102003519"</f>
        <v>2102003519</v>
      </c>
      <c r="B1041" s="7" t="str">
        <f t="shared" si="57"/>
        <v>2021020</v>
      </c>
      <c r="C1041" s="7" t="str">
        <f t="shared" si="56"/>
        <v>035</v>
      </c>
      <c r="D1041" s="7" t="str">
        <f>"19"</f>
        <v>19</v>
      </c>
      <c r="E1041" s="8">
        <v>67.6</v>
      </c>
      <c r="F1041" s="7" t="s">
        <v>7</v>
      </c>
    </row>
    <row r="1042" s="2" customFormat="1" ht="14.1" customHeight="1" spans="1:6">
      <c r="A1042" s="7" t="str">
        <f>"2102003520"</f>
        <v>2102003520</v>
      </c>
      <c r="B1042" s="7" t="str">
        <f t="shared" si="57"/>
        <v>2021020</v>
      </c>
      <c r="C1042" s="7" t="str">
        <f t="shared" si="56"/>
        <v>035</v>
      </c>
      <c r="D1042" s="7" t="str">
        <f>"20"</f>
        <v>20</v>
      </c>
      <c r="E1042" s="8">
        <v>0</v>
      </c>
      <c r="F1042" s="7" t="s">
        <v>8</v>
      </c>
    </row>
    <row r="1043" s="2" customFormat="1" ht="14.1" customHeight="1" spans="1:6">
      <c r="A1043" s="7" t="str">
        <f>"2102003521"</f>
        <v>2102003521</v>
      </c>
      <c r="B1043" s="7" t="str">
        <f t="shared" si="57"/>
        <v>2021020</v>
      </c>
      <c r="C1043" s="7" t="str">
        <f t="shared" si="56"/>
        <v>035</v>
      </c>
      <c r="D1043" s="7" t="str">
        <f>"21"</f>
        <v>21</v>
      </c>
      <c r="E1043" s="8">
        <v>0</v>
      </c>
      <c r="F1043" s="7" t="s">
        <v>8</v>
      </c>
    </row>
    <row r="1044" s="2" customFormat="1" ht="14.1" customHeight="1" spans="1:6">
      <c r="A1044" s="7" t="str">
        <f>"2102103522"</f>
        <v>2102103522</v>
      </c>
      <c r="B1044" s="7" t="str">
        <f t="shared" ref="B1044:B1090" si="58">"2021021"</f>
        <v>2021021</v>
      </c>
      <c r="C1044" s="7" t="str">
        <f t="shared" si="56"/>
        <v>035</v>
      </c>
      <c r="D1044" s="7" t="str">
        <f>"22"</f>
        <v>22</v>
      </c>
      <c r="E1044" s="8">
        <v>65.4</v>
      </c>
      <c r="F1044" s="7" t="s">
        <v>7</v>
      </c>
    </row>
    <row r="1045" s="2" customFormat="1" ht="14.1" customHeight="1" spans="1:6">
      <c r="A1045" s="7" t="str">
        <f>"2102103523"</f>
        <v>2102103523</v>
      </c>
      <c r="B1045" s="7" t="str">
        <f t="shared" si="58"/>
        <v>2021021</v>
      </c>
      <c r="C1045" s="7" t="str">
        <f t="shared" si="56"/>
        <v>035</v>
      </c>
      <c r="D1045" s="7" t="str">
        <f>"23"</f>
        <v>23</v>
      </c>
      <c r="E1045" s="8">
        <v>0</v>
      </c>
      <c r="F1045" s="7" t="s">
        <v>8</v>
      </c>
    </row>
    <row r="1046" s="2" customFormat="1" ht="14.1" customHeight="1" spans="1:6">
      <c r="A1046" s="7" t="str">
        <f>"2102103524"</f>
        <v>2102103524</v>
      </c>
      <c r="B1046" s="7" t="str">
        <f t="shared" si="58"/>
        <v>2021021</v>
      </c>
      <c r="C1046" s="7" t="str">
        <f t="shared" si="56"/>
        <v>035</v>
      </c>
      <c r="D1046" s="7" t="str">
        <f>"24"</f>
        <v>24</v>
      </c>
      <c r="E1046" s="8">
        <v>51.2</v>
      </c>
      <c r="F1046" s="7" t="s">
        <v>7</v>
      </c>
    </row>
    <row r="1047" s="2" customFormat="1" ht="14.1" customHeight="1" spans="1:6">
      <c r="A1047" s="7" t="str">
        <f>"2102103525"</f>
        <v>2102103525</v>
      </c>
      <c r="B1047" s="7" t="str">
        <f t="shared" si="58"/>
        <v>2021021</v>
      </c>
      <c r="C1047" s="7" t="str">
        <f t="shared" si="56"/>
        <v>035</v>
      </c>
      <c r="D1047" s="7" t="str">
        <f>"25"</f>
        <v>25</v>
      </c>
      <c r="E1047" s="8">
        <v>60.3</v>
      </c>
      <c r="F1047" s="7" t="s">
        <v>7</v>
      </c>
    </row>
    <row r="1048" s="2" customFormat="1" ht="14.1" customHeight="1" spans="1:6">
      <c r="A1048" s="7" t="str">
        <f>"2102103526"</f>
        <v>2102103526</v>
      </c>
      <c r="B1048" s="7" t="str">
        <f t="shared" si="58"/>
        <v>2021021</v>
      </c>
      <c r="C1048" s="7" t="str">
        <f t="shared" si="56"/>
        <v>035</v>
      </c>
      <c r="D1048" s="7" t="str">
        <f>"26"</f>
        <v>26</v>
      </c>
      <c r="E1048" s="8">
        <v>62.8</v>
      </c>
      <c r="F1048" s="7" t="s">
        <v>7</v>
      </c>
    </row>
    <row r="1049" s="2" customFormat="1" ht="14.1" customHeight="1" spans="1:6">
      <c r="A1049" s="7" t="str">
        <f>"2102103527"</f>
        <v>2102103527</v>
      </c>
      <c r="B1049" s="7" t="str">
        <f t="shared" si="58"/>
        <v>2021021</v>
      </c>
      <c r="C1049" s="7" t="str">
        <f t="shared" si="56"/>
        <v>035</v>
      </c>
      <c r="D1049" s="7" t="str">
        <f>"27"</f>
        <v>27</v>
      </c>
      <c r="E1049" s="8">
        <v>0</v>
      </c>
      <c r="F1049" s="7" t="s">
        <v>8</v>
      </c>
    </row>
    <row r="1050" s="2" customFormat="1" ht="14.1" customHeight="1" spans="1:6">
      <c r="A1050" s="7" t="str">
        <f>"2102103528"</f>
        <v>2102103528</v>
      </c>
      <c r="B1050" s="7" t="str">
        <f t="shared" si="58"/>
        <v>2021021</v>
      </c>
      <c r="C1050" s="7" t="str">
        <f t="shared" si="56"/>
        <v>035</v>
      </c>
      <c r="D1050" s="7" t="str">
        <f>"28"</f>
        <v>28</v>
      </c>
      <c r="E1050" s="8">
        <v>67.1</v>
      </c>
      <c r="F1050" s="7" t="s">
        <v>7</v>
      </c>
    </row>
    <row r="1051" s="2" customFormat="1" ht="14.1" customHeight="1" spans="1:6">
      <c r="A1051" s="7" t="str">
        <f>"2102103529"</f>
        <v>2102103529</v>
      </c>
      <c r="B1051" s="7" t="str">
        <f t="shared" si="58"/>
        <v>2021021</v>
      </c>
      <c r="C1051" s="7" t="str">
        <f t="shared" si="56"/>
        <v>035</v>
      </c>
      <c r="D1051" s="7" t="str">
        <f>"29"</f>
        <v>29</v>
      </c>
      <c r="E1051" s="8">
        <v>62.7</v>
      </c>
      <c r="F1051" s="7" t="s">
        <v>7</v>
      </c>
    </row>
    <row r="1052" s="2" customFormat="1" ht="14.1" customHeight="1" spans="1:6">
      <c r="A1052" s="7" t="str">
        <f>"2102103530"</f>
        <v>2102103530</v>
      </c>
      <c r="B1052" s="7" t="str">
        <f t="shared" si="58"/>
        <v>2021021</v>
      </c>
      <c r="C1052" s="7" t="str">
        <f t="shared" si="56"/>
        <v>035</v>
      </c>
      <c r="D1052" s="7" t="str">
        <f>"30"</f>
        <v>30</v>
      </c>
      <c r="E1052" s="8">
        <v>59.6</v>
      </c>
      <c r="F1052" s="7" t="s">
        <v>7</v>
      </c>
    </row>
    <row r="1053" s="2" customFormat="1" ht="14.1" customHeight="1" spans="1:6">
      <c r="A1053" s="7" t="str">
        <f>"2102103601"</f>
        <v>2102103601</v>
      </c>
      <c r="B1053" s="7" t="str">
        <f t="shared" si="58"/>
        <v>2021021</v>
      </c>
      <c r="C1053" s="7" t="str">
        <f t="shared" ref="C1053:C1082" si="59">"036"</f>
        <v>036</v>
      </c>
      <c r="D1053" s="7" t="str">
        <f>"01"</f>
        <v>01</v>
      </c>
      <c r="E1053" s="8">
        <v>64.5</v>
      </c>
      <c r="F1053" s="7" t="s">
        <v>7</v>
      </c>
    </row>
    <row r="1054" s="2" customFormat="1" ht="14.1" customHeight="1" spans="1:6">
      <c r="A1054" s="7" t="str">
        <f>"2102103602"</f>
        <v>2102103602</v>
      </c>
      <c r="B1054" s="7" t="str">
        <f t="shared" si="58"/>
        <v>2021021</v>
      </c>
      <c r="C1054" s="7" t="str">
        <f t="shared" si="59"/>
        <v>036</v>
      </c>
      <c r="D1054" s="7" t="str">
        <f>"02"</f>
        <v>02</v>
      </c>
      <c r="E1054" s="8">
        <v>0</v>
      </c>
      <c r="F1054" s="7" t="s">
        <v>8</v>
      </c>
    </row>
    <row r="1055" s="2" customFormat="1" ht="14.1" customHeight="1" spans="1:6">
      <c r="A1055" s="7" t="str">
        <f>"2102103603"</f>
        <v>2102103603</v>
      </c>
      <c r="B1055" s="7" t="str">
        <f t="shared" si="58"/>
        <v>2021021</v>
      </c>
      <c r="C1055" s="7" t="str">
        <f t="shared" si="59"/>
        <v>036</v>
      </c>
      <c r="D1055" s="7" t="str">
        <f>"03"</f>
        <v>03</v>
      </c>
      <c r="E1055" s="8">
        <v>62.7</v>
      </c>
      <c r="F1055" s="7" t="s">
        <v>7</v>
      </c>
    </row>
    <row r="1056" s="2" customFormat="1" ht="14.1" customHeight="1" spans="1:6">
      <c r="A1056" s="7" t="str">
        <f>"2102103604"</f>
        <v>2102103604</v>
      </c>
      <c r="B1056" s="7" t="str">
        <f t="shared" si="58"/>
        <v>2021021</v>
      </c>
      <c r="C1056" s="7" t="str">
        <f t="shared" si="59"/>
        <v>036</v>
      </c>
      <c r="D1056" s="7" t="str">
        <f>"04"</f>
        <v>04</v>
      </c>
      <c r="E1056" s="8">
        <v>0</v>
      </c>
      <c r="F1056" s="7" t="s">
        <v>8</v>
      </c>
    </row>
    <row r="1057" s="2" customFormat="1" ht="14.1" customHeight="1" spans="1:6">
      <c r="A1057" s="7" t="str">
        <f>"2102103605"</f>
        <v>2102103605</v>
      </c>
      <c r="B1057" s="7" t="str">
        <f t="shared" si="58"/>
        <v>2021021</v>
      </c>
      <c r="C1057" s="7" t="str">
        <f t="shared" si="59"/>
        <v>036</v>
      </c>
      <c r="D1057" s="7" t="str">
        <f>"05"</f>
        <v>05</v>
      </c>
      <c r="E1057" s="8">
        <v>0</v>
      </c>
      <c r="F1057" s="7" t="s">
        <v>8</v>
      </c>
    </row>
    <row r="1058" s="2" customFormat="1" ht="14.1" customHeight="1" spans="1:6">
      <c r="A1058" s="7" t="str">
        <f>"2102103606"</f>
        <v>2102103606</v>
      </c>
      <c r="B1058" s="7" t="str">
        <f t="shared" si="58"/>
        <v>2021021</v>
      </c>
      <c r="C1058" s="7" t="str">
        <f t="shared" si="59"/>
        <v>036</v>
      </c>
      <c r="D1058" s="7" t="str">
        <f>"06"</f>
        <v>06</v>
      </c>
      <c r="E1058" s="8">
        <v>65.7</v>
      </c>
      <c r="F1058" s="7" t="s">
        <v>7</v>
      </c>
    </row>
    <row r="1059" s="2" customFormat="1" ht="14.1" customHeight="1" spans="1:6">
      <c r="A1059" s="7" t="str">
        <f>"2102103607"</f>
        <v>2102103607</v>
      </c>
      <c r="B1059" s="7" t="str">
        <f t="shared" si="58"/>
        <v>2021021</v>
      </c>
      <c r="C1059" s="7" t="str">
        <f t="shared" si="59"/>
        <v>036</v>
      </c>
      <c r="D1059" s="7" t="str">
        <f>"07"</f>
        <v>07</v>
      </c>
      <c r="E1059" s="8">
        <v>54.8</v>
      </c>
      <c r="F1059" s="7" t="s">
        <v>7</v>
      </c>
    </row>
    <row r="1060" s="2" customFormat="1" ht="14.1" customHeight="1" spans="1:6">
      <c r="A1060" s="7" t="str">
        <f>"2102103608"</f>
        <v>2102103608</v>
      </c>
      <c r="B1060" s="7" t="str">
        <f t="shared" si="58"/>
        <v>2021021</v>
      </c>
      <c r="C1060" s="7" t="str">
        <f t="shared" si="59"/>
        <v>036</v>
      </c>
      <c r="D1060" s="7" t="str">
        <f>"08"</f>
        <v>08</v>
      </c>
      <c r="E1060" s="8">
        <v>55</v>
      </c>
      <c r="F1060" s="7" t="s">
        <v>7</v>
      </c>
    </row>
    <row r="1061" s="2" customFormat="1" ht="14.1" customHeight="1" spans="1:6">
      <c r="A1061" s="7" t="str">
        <f>"2102103609"</f>
        <v>2102103609</v>
      </c>
      <c r="B1061" s="7" t="str">
        <f t="shared" si="58"/>
        <v>2021021</v>
      </c>
      <c r="C1061" s="7" t="str">
        <f t="shared" si="59"/>
        <v>036</v>
      </c>
      <c r="D1061" s="7" t="str">
        <f>"09"</f>
        <v>09</v>
      </c>
      <c r="E1061" s="8">
        <v>0</v>
      </c>
      <c r="F1061" s="7" t="s">
        <v>8</v>
      </c>
    </row>
    <row r="1062" s="2" customFormat="1" ht="14.1" customHeight="1" spans="1:6">
      <c r="A1062" s="7" t="str">
        <f>"2102103610"</f>
        <v>2102103610</v>
      </c>
      <c r="B1062" s="7" t="str">
        <f t="shared" si="58"/>
        <v>2021021</v>
      </c>
      <c r="C1062" s="7" t="str">
        <f t="shared" si="59"/>
        <v>036</v>
      </c>
      <c r="D1062" s="7" t="str">
        <f>"10"</f>
        <v>10</v>
      </c>
      <c r="E1062" s="8">
        <v>0</v>
      </c>
      <c r="F1062" s="7" t="s">
        <v>8</v>
      </c>
    </row>
    <row r="1063" s="2" customFormat="1" ht="14.1" customHeight="1" spans="1:6">
      <c r="A1063" s="7" t="str">
        <f>"2102103611"</f>
        <v>2102103611</v>
      </c>
      <c r="B1063" s="7" t="str">
        <f t="shared" si="58"/>
        <v>2021021</v>
      </c>
      <c r="C1063" s="7" t="str">
        <f t="shared" si="59"/>
        <v>036</v>
      </c>
      <c r="D1063" s="7" t="str">
        <f>"11"</f>
        <v>11</v>
      </c>
      <c r="E1063" s="8">
        <v>0</v>
      </c>
      <c r="F1063" s="7" t="s">
        <v>8</v>
      </c>
    </row>
    <row r="1064" s="2" customFormat="1" ht="14.1" customHeight="1" spans="1:6">
      <c r="A1064" s="7" t="str">
        <f>"2102103612"</f>
        <v>2102103612</v>
      </c>
      <c r="B1064" s="7" t="str">
        <f t="shared" si="58"/>
        <v>2021021</v>
      </c>
      <c r="C1064" s="7" t="str">
        <f t="shared" si="59"/>
        <v>036</v>
      </c>
      <c r="D1064" s="7" t="str">
        <f>"12"</f>
        <v>12</v>
      </c>
      <c r="E1064" s="8">
        <v>0</v>
      </c>
      <c r="F1064" s="7" t="s">
        <v>8</v>
      </c>
    </row>
    <row r="1065" s="2" customFormat="1" ht="14.1" customHeight="1" spans="1:6">
      <c r="A1065" s="7" t="str">
        <f>"2102103613"</f>
        <v>2102103613</v>
      </c>
      <c r="B1065" s="7" t="str">
        <f t="shared" si="58"/>
        <v>2021021</v>
      </c>
      <c r="C1065" s="7" t="str">
        <f t="shared" si="59"/>
        <v>036</v>
      </c>
      <c r="D1065" s="7" t="str">
        <f>"13"</f>
        <v>13</v>
      </c>
      <c r="E1065" s="8">
        <v>0</v>
      </c>
      <c r="F1065" s="7" t="s">
        <v>8</v>
      </c>
    </row>
    <row r="1066" s="2" customFormat="1" ht="14.1" customHeight="1" spans="1:6">
      <c r="A1066" s="7" t="str">
        <f>"2102103614"</f>
        <v>2102103614</v>
      </c>
      <c r="B1066" s="7" t="str">
        <f t="shared" si="58"/>
        <v>2021021</v>
      </c>
      <c r="C1066" s="7" t="str">
        <f t="shared" si="59"/>
        <v>036</v>
      </c>
      <c r="D1066" s="7" t="str">
        <f>"14"</f>
        <v>14</v>
      </c>
      <c r="E1066" s="8">
        <v>66.1</v>
      </c>
      <c r="F1066" s="7" t="s">
        <v>7</v>
      </c>
    </row>
    <row r="1067" s="2" customFormat="1" ht="14.1" customHeight="1" spans="1:6">
      <c r="A1067" s="7" t="str">
        <f>"2102103615"</f>
        <v>2102103615</v>
      </c>
      <c r="B1067" s="7" t="str">
        <f t="shared" si="58"/>
        <v>2021021</v>
      </c>
      <c r="C1067" s="7" t="str">
        <f t="shared" si="59"/>
        <v>036</v>
      </c>
      <c r="D1067" s="7" t="str">
        <f>"15"</f>
        <v>15</v>
      </c>
      <c r="E1067" s="8">
        <v>63.2</v>
      </c>
      <c r="F1067" s="7" t="s">
        <v>7</v>
      </c>
    </row>
    <row r="1068" s="2" customFormat="1" ht="14.1" customHeight="1" spans="1:6">
      <c r="A1068" s="7" t="str">
        <f>"2102103616"</f>
        <v>2102103616</v>
      </c>
      <c r="B1068" s="7" t="str">
        <f t="shared" si="58"/>
        <v>2021021</v>
      </c>
      <c r="C1068" s="7" t="str">
        <f t="shared" si="59"/>
        <v>036</v>
      </c>
      <c r="D1068" s="7" t="str">
        <f>"16"</f>
        <v>16</v>
      </c>
      <c r="E1068" s="8">
        <v>0</v>
      </c>
      <c r="F1068" s="7" t="s">
        <v>8</v>
      </c>
    </row>
    <row r="1069" s="2" customFormat="1" ht="14.1" customHeight="1" spans="1:6">
      <c r="A1069" s="7" t="str">
        <f>"2102103617"</f>
        <v>2102103617</v>
      </c>
      <c r="B1069" s="7" t="str">
        <f t="shared" si="58"/>
        <v>2021021</v>
      </c>
      <c r="C1069" s="7" t="str">
        <f t="shared" si="59"/>
        <v>036</v>
      </c>
      <c r="D1069" s="7" t="str">
        <f>"17"</f>
        <v>17</v>
      </c>
      <c r="E1069" s="8">
        <v>62.1</v>
      </c>
      <c r="F1069" s="7" t="s">
        <v>7</v>
      </c>
    </row>
    <row r="1070" s="2" customFormat="1" ht="14.1" customHeight="1" spans="1:6">
      <c r="A1070" s="7" t="str">
        <f>"2102103618"</f>
        <v>2102103618</v>
      </c>
      <c r="B1070" s="7" t="str">
        <f t="shared" si="58"/>
        <v>2021021</v>
      </c>
      <c r="C1070" s="7" t="str">
        <f t="shared" si="59"/>
        <v>036</v>
      </c>
      <c r="D1070" s="7" t="str">
        <f>"18"</f>
        <v>18</v>
      </c>
      <c r="E1070" s="8">
        <v>67.5</v>
      </c>
      <c r="F1070" s="7" t="s">
        <v>7</v>
      </c>
    </row>
    <row r="1071" s="2" customFormat="1" ht="14.1" customHeight="1" spans="1:6">
      <c r="A1071" s="7" t="str">
        <f>"2102103619"</f>
        <v>2102103619</v>
      </c>
      <c r="B1071" s="7" t="str">
        <f t="shared" si="58"/>
        <v>2021021</v>
      </c>
      <c r="C1071" s="7" t="str">
        <f t="shared" si="59"/>
        <v>036</v>
      </c>
      <c r="D1071" s="7" t="str">
        <f>"19"</f>
        <v>19</v>
      </c>
      <c r="E1071" s="8">
        <v>64.2</v>
      </c>
      <c r="F1071" s="7" t="s">
        <v>7</v>
      </c>
    </row>
    <row r="1072" s="2" customFormat="1" ht="14.1" customHeight="1" spans="1:6">
      <c r="A1072" s="7" t="str">
        <f>"2102103620"</f>
        <v>2102103620</v>
      </c>
      <c r="B1072" s="7" t="str">
        <f t="shared" si="58"/>
        <v>2021021</v>
      </c>
      <c r="C1072" s="7" t="str">
        <f t="shared" si="59"/>
        <v>036</v>
      </c>
      <c r="D1072" s="7" t="str">
        <f>"20"</f>
        <v>20</v>
      </c>
      <c r="E1072" s="8">
        <v>63.5</v>
      </c>
      <c r="F1072" s="7" t="s">
        <v>7</v>
      </c>
    </row>
    <row r="1073" s="2" customFormat="1" ht="14.1" customHeight="1" spans="1:6">
      <c r="A1073" s="7" t="str">
        <f>"2102103621"</f>
        <v>2102103621</v>
      </c>
      <c r="B1073" s="7" t="str">
        <f t="shared" si="58"/>
        <v>2021021</v>
      </c>
      <c r="C1073" s="7" t="str">
        <f t="shared" si="59"/>
        <v>036</v>
      </c>
      <c r="D1073" s="7" t="str">
        <f>"21"</f>
        <v>21</v>
      </c>
      <c r="E1073" s="8">
        <v>64.5</v>
      </c>
      <c r="F1073" s="7" t="s">
        <v>7</v>
      </c>
    </row>
    <row r="1074" s="2" customFormat="1" ht="14.1" customHeight="1" spans="1:6">
      <c r="A1074" s="7" t="str">
        <f>"2102103622"</f>
        <v>2102103622</v>
      </c>
      <c r="B1074" s="7" t="str">
        <f t="shared" si="58"/>
        <v>2021021</v>
      </c>
      <c r="C1074" s="7" t="str">
        <f t="shared" si="59"/>
        <v>036</v>
      </c>
      <c r="D1074" s="7" t="str">
        <f>"22"</f>
        <v>22</v>
      </c>
      <c r="E1074" s="8">
        <v>0</v>
      </c>
      <c r="F1074" s="7" t="s">
        <v>8</v>
      </c>
    </row>
    <row r="1075" s="2" customFormat="1" ht="14.1" customHeight="1" spans="1:6">
      <c r="A1075" s="7" t="str">
        <f>"2102103623"</f>
        <v>2102103623</v>
      </c>
      <c r="B1075" s="7" t="str">
        <f t="shared" si="58"/>
        <v>2021021</v>
      </c>
      <c r="C1075" s="7" t="str">
        <f t="shared" si="59"/>
        <v>036</v>
      </c>
      <c r="D1075" s="7" t="str">
        <f>"23"</f>
        <v>23</v>
      </c>
      <c r="E1075" s="8">
        <v>71.6</v>
      </c>
      <c r="F1075" s="7" t="s">
        <v>7</v>
      </c>
    </row>
    <row r="1076" s="2" customFormat="1" ht="14.1" customHeight="1" spans="1:6">
      <c r="A1076" s="7" t="str">
        <f>"2102103624"</f>
        <v>2102103624</v>
      </c>
      <c r="B1076" s="7" t="str">
        <f t="shared" si="58"/>
        <v>2021021</v>
      </c>
      <c r="C1076" s="7" t="str">
        <f t="shared" si="59"/>
        <v>036</v>
      </c>
      <c r="D1076" s="7" t="str">
        <f>"24"</f>
        <v>24</v>
      </c>
      <c r="E1076" s="8">
        <v>0</v>
      </c>
      <c r="F1076" s="7" t="s">
        <v>8</v>
      </c>
    </row>
    <row r="1077" s="2" customFormat="1" ht="14.1" customHeight="1" spans="1:6">
      <c r="A1077" s="7" t="str">
        <f>"2102103625"</f>
        <v>2102103625</v>
      </c>
      <c r="B1077" s="7" t="str">
        <f t="shared" si="58"/>
        <v>2021021</v>
      </c>
      <c r="C1077" s="7" t="str">
        <f t="shared" si="59"/>
        <v>036</v>
      </c>
      <c r="D1077" s="7" t="str">
        <f>"25"</f>
        <v>25</v>
      </c>
      <c r="E1077" s="8">
        <v>57.3</v>
      </c>
      <c r="F1077" s="7" t="s">
        <v>7</v>
      </c>
    </row>
    <row r="1078" s="2" customFormat="1" ht="14.1" customHeight="1" spans="1:6">
      <c r="A1078" s="7" t="str">
        <f>"2102103626"</f>
        <v>2102103626</v>
      </c>
      <c r="B1078" s="7" t="str">
        <f t="shared" si="58"/>
        <v>2021021</v>
      </c>
      <c r="C1078" s="7" t="str">
        <f t="shared" si="59"/>
        <v>036</v>
      </c>
      <c r="D1078" s="7" t="str">
        <f>"26"</f>
        <v>26</v>
      </c>
      <c r="E1078" s="8">
        <v>60.7</v>
      </c>
      <c r="F1078" s="7" t="s">
        <v>7</v>
      </c>
    </row>
    <row r="1079" s="2" customFormat="1" ht="14.1" customHeight="1" spans="1:6">
      <c r="A1079" s="7" t="str">
        <f>"2102103627"</f>
        <v>2102103627</v>
      </c>
      <c r="B1079" s="7" t="str">
        <f t="shared" si="58"/>
        <v>2021021</v>
      </c>
      <c r="C1079" s="7" t="str">
        <f t="shared" si="59"/>
        <v>036</v>
      </c>
      <c r="D1079" s="7" t="str">
        <f>"27"</f>
        <v>27</v>
      </c>
      <c r="E1079" s="8">
        <v>59.6</v>
      </c>
      <c r="F1079" s="7" t="s">
        <v>7</v>
      </c>
    </row>
    <row r="1080" s="2" customFormat="1" ht="14.1" customHeight="1" spans="1:6">
      <c r="A1080" s="7" t="str">
        <f>"2102103628"</f>
        <v>2102103628</v>
      </c>
      <c r="B1080" s="7" t="str">
        <f t="shared" si="58"/>
        <v>2021021</v>
      </c>
      <c r="C1080" s="7" t="str">
        <f t="shared" si="59"/>
        <v>036</v>
      </c>
      <c r="D1080" s="7" t="str">
        <f>"28"</f>
        <v>28</v>
      </c>
      <c r="E1080" s="8">
        <v>68.4</v>
      </c>
      <c r="F1080" s="7" t="s">
        <v>7</v>
      </c>
    </row>
    <row r="1081" s="2" customFormat="1" ht="14.1" customHeight="1" spans="1:6">
      <c r="A1081" s="7" t="str">
        <f>"2102103629"</f>
        <v>2102103629</v>
      </c>
      <c r="B1081" s="7" t="str">
        <f t="shared" si="58"/>
        <v>2021021</v>
      </c>
      <c r="C1081" s="7" t="str">
        <f t="shared" si="59"/>
        <v>036</v>
      </c>
      <c r="D1081" s="7" t="str">
        <f>"29"</f>
        <v>29</v>
      </c>
      <c r="E1081" s="8">
        <v>59.7</v>
      </c>
      <c r="F1081" s="7" t="s">
        <v>7</v>
      </c>
    </row>
    <row r="1082" s="2" customFormat="1" ht="14.1" customHeight="1" spans="1:6">
      <c r="A1082" s="7" t="str">
        <f>"2102103630"</f>
        <v>2102103630</v>
      </c>
      <c r="B1082" s="7" t="str">
        <f t="shared" si="58"/>
        <v>2021021</v>
      </c>
      <c r="C1082" s="7" t="str">
        <f t="shared" si="59"/>
        <v>036</v>
      </c>
      <c r="D1082" s="7" t="str">
        <f>"30"</f>
        <v>30</v>
      </c>
      <c r="E1082" s="8">
        <v>62.7</v>
      </c>
      <c r="F1082" s="7" t="s">
        <v>7</v>
      </c>
    </row>
    <row r="1083" s="2" customFormat="1" ht="14.1" customHeight="1" spans="1:6">
      <c r="A1083" s="7" t="str">
        <f>"2102103701"</f>
        <v>2102103701</v>
      </c>
      <c r="B1083" s="7" t="str">
        <f t="shared" si="58"/>
        <v>2021021</v>
      </c>
      <c r="C1083" s="7" t="str">
        <f t="shared" ref="C1083:C1112" si="60">"037"</f>
        <v>037</v>
      </c>
      <c r="D1083" s="7" t="str">
        <f>"01"</f>
        <v>01</v>
      </c>
      <c r="E1083" s="8">
        <v>77</v>
      </c>
      <c r="F1083" s="7" t="s">
        <v>7</v>
      </c>
    </row>
    <row r="1084" s="2" customFormat="1" ht="14.1" customHeight="1" spans="1:6">
      <c r="A1084" s="7" t="str">
        <f>"2102103702"</f>
        <v>2102103702</v>
      </c>
      <c r="B1084" s="7" t="str">
        <f t="shared" si="58"/>
        <v>2021021</v>
      </c>
      <c r="C1084" s="7" t="str">
        <f t="shared" si="60"/>
        <v>037</v>
      </c>
      <c r="D1084" s="7" t="str">
        <f>"02"</f>
        <v>02</v>
      </c>
      <c r="E1084" s="8">
        <v>0</v>
      </c>
      <c r="F1084" s="7" t="s">
        <v>8</v>
      </c>
    </row>
    <row r="1085" s="2" customFormat="1" ht="14.1" customHeight="1" spans="1:6">
      <c r="A1085" s="7" t="str">
        <f>"2102103703"</f>
        <v>2102103703</v>
      </c>
      <c r="B1085" s="7" t="str">
        <f t="shared" si="58"/>
        <v>2021021</v>
      </c>
      <c r="C1085" s="7" t="str">
        <f t="shared" si="60"/>
        <v>037</v>
      </c>
      <c r="D1085" s="7" t="str">
        <f>"03"</f>
        <v>03</v>
      </c>
      <c r="E1085" s="8">
        <v>0</v>
      </c>
      <c r="F1085" s="7" t="s">
        <v>8</v>
      </c>
    </row>
    <row r="1086" s="2" customFormat="1" ht="14.1" customHeight="1" spans="1:6">
      <c r="A1086" s="7" t="str">
        <f>"2102103704"</f>
        <v>2102103704</v>
      </c>
      <c r="B1086" s="7" t="str">
        <f t="shared" si="58"/>
        <v>2021021</v>
      </c>
      <c r="C1086" s="7" t="str">
        <f t="shared" si="60"/>
        <v>037</v>
      </c>
      <c r="D1086" s="7" t="str">
        <f>"04"</f>
        <v>04</v>
      </c>
      <c r="E1086" s="8">
        <v>0</v>
      </c>
      <c r="F1086" s="7" t="s">
        <v>8</v>
      </c>
    </row>
    <row r="1087" s="2" customFormat="1" ht="14.1" customHeight="1" spans="1:6">
      <c r="A1087" s="7" t="str">
        <f>"2102103705"</f>
        <v>2102103705</v>
      </c>
      <c r="B1087" s="7" t="str">
        <f t="shared" si="58"/>
        <v>2021021</v>
      </c>
      <c r="C1087" s="7" t="str">
        <f t="shared" si="60"/>
        <v>037</v>
      </c>
      <c r="D1087" s="7" t="str">
        <f>"05"</f>
        <v>05</v>
      </c>
      <c r="E1087" s="8">
        <v>0</v>
      </c>
      <c r="F1087" s="7" t="s">
        <v>8</v>
      </c>
    </row>
    <row r="1088" s="2" customFormat="1" ht="14.1" customHeight="1" spans="1:6">
      <c r="A1088" s="7" t="str">
        <f>"2102103706"</f>
        <v>2102103706</v>
      </c>
      <c r="B1088" s="7" t="str">
        <f t="shared" si="58"/>
        <v>2021021</v>
      </c>
      <c r="C1088" s="7" t="str">
        <f t="shared" si="60"/>
        <v>037</v>
      </c>
      <c r="D1088" s="7" t="str">
        <f>"06"</f>
        <v>06</v>
      </c>
      <c r="E1088" s="8">
        <v>65.6</v>
      </c>
      <c r="F1088" s="7" t="s">
        <v>7</v>
      </c>
    </row>
    <row r="1089" s="2" customFormat="1" ht="14.1" customHeight="1" spans="1:6">
      <c r="A1089" s="7" t="str">
        <f>"2102103707"</f>
        <v>2102103707</v>
      </c>
      <c r="B1089" s="7" t="str">
        <f t="shared" si="58"/>
        <v>2021021</v>
      </c>
      <c r="C1089" s="7" t="str">
        <f t="shared" si="60"/>
        <v>037</v>
      </c>
      <c r="D1089" s="7" t="str">
        <f>"07"</f>
        <v>07</v>
      </c>
      <c r="E1089" s="8">
        <v>0</v>
      </c>
      <c r="F1089" s="7" t="s">
        <v>8</v>
      </c>
    </row>
    <row r="1090" s="2" customFormat="1" ht="14.1" customHeight="1" spans="1:6">
      <c r="A1090" s="7" t="str">
        <f>"2102103708"</f>
        <v>2102103708</v>
      </c>
      <c r="B1090" s="7" t="str">
        <f t="shared" si="58"/>
        <v>2021021</v>
      </c>
      <c r="C1090" s="7" t="str">
        <f t="shared" si="60"/>
        <v>037</v>
      </c>
      <c r="D1090" s="7" t="str">
        <f>"08"</f>
        <v>08</v>
      </c>
      <c r="E1090" s="8">
        <v>51.6</v>
      </c>
      <c r="F1090" s="7" t="s">
        <v>7</v>
      </c>
    </row>
    <row r="1091" s="2" customFormat="1" ht="14.1" customHeight="1" spans="1:6">
      <c r="A1091" s="7" t="str">
        <f>"2102203709"</f>
        <v>2102203709</v>
      </c>
      <c r="B1091" s="7" t="str">
        <f t="shared" ref="B1091:B1149" si="61">"2021022"</f>
        <v>2021022</v>
      </c>
      <c r="C1091" s="7" t="str">
        <f t="shared" si="60"/>
        <v>037</v>
      </c>
      <c r="D1091" s="7" t="str">
        <f>"09"</f>
        <v>09</v>
      </c>
      <c r="E1091" s="8">
        <v>62.5</v>
      </c>
      <c r="F1091" s="7" t="s">
        <v>7</v>
      </c>
    </row>
    <row r="1092" s="2" customFormat="1" ht="14.1" customHeight="1" spans="1:6">
      <c r="A1092" s="7" t="str">
        <f>"2102203710"</f>
        <v>2102203710</v>
      </c>
      <c r="B1092" s="7" t="str">
        <f t="shared" si="61"/>
        <v>2021022</v>
      </c>
      <c r="C1092" s="7" t="str">
        <f t="shared" si="60"/>
        <v>037</v>
      </c>
      <c r="D1092" s="7" t="str">
        <f>"10"</f>
        <v>10</v>
      </c>
      <c r="E1092" s="8">
        <v>0</v>
      </c>
      <c r="F1092" s="7" t="s">
        <v>8</v>
      </c>
    </row>
    <row r="1093" s="2" customFormat="1" ht="14.1" customHeight="1" spans="1:6">
      <c r="A1093" s="7" t="str">
        <f>"2102203711"</f>
        <v>2102203711</v>
      </c>
      <c r="B1093" s="7" t="str">
        <f t="shared" si="61"/>
        <v>2021022</v>
      </c>
      <c r="C1093" s="7" t="str">
        <f t="shared" si="60"/>
        <v>037</v>
      </c>
      <c r="D1093" s="7" t="str">
        <f>"11"</f>
        <v>11</v>
      </c>
      <c r="E1093" s="8">
        <v>0</v>
      </c>
      <c r="F1093" s="7" t="s">
        <v>8</v>
      </c>
    </row>
    <row r="1094" s="2" customFormat="1" ht="14.1" customHeight="1" spans="1:6">
      <c r="A1094" s="7" t="str">
        <f>"2102203712"</f>
        <v>2102203712</v>
      </c>
      <c r="B1094" s="7" t="str">
        <f t="shared" si="61"/>
        <v>2021022</v>
      </c>
      <c r="C1094" s="7" t="str">
        <f t="shared" si="60"/>
        <v>037</v>
      </c>
      <c r="D1094" s="7" t="str">
        <f>"12"</f>
        <v>12</v>
      </c>
      <c r="E1094" s="8">
        <v>60.1</v>
      </c>
      <c r="F1094" s="7" t="s">
        <v>7</v>
      </c>
    </row>
    <row r="1095" s="2" customFormat="1" ht="14.1" customHeight="1" spans="1:6">
      <c r="A1095" s="7" t="str">
        <f>"2102203713"</f>
        <v>2102203713</v>
      </c>
      <c r="B1095" s="7" t="str">
        <f t="shared" si="61"/>
        <v>2021022</v>
      </c>
      <c r="C1095" s="7" t="str">
        <f t="shared" si="60"/>
        <v>037</v>
      </c>
      <c r="D1095" s="7" t="str">
        <f>"13"</f>
        <v>13</v>
      </c>
      <c r="E1095" s="8">
        <v>65.3</v>
      </c>
      <c r="F1095" s="7" t="s">
        <v>7</v>
      </c>
    </row>
    <row r="1096" s="2" customFormat="1" ht="14.1" customHeight="1" spans="1:6">
      <c r="A1096" s="7" t="str">
        <f>"2102203714"</f>
        <v>2102203714</v>
      </c>
      <c r="B1096" s="7" t="str">
        <f t="shared" si="61"/>
        <v>2021022</v>
      </c>
      <c r="C1096" s="7" t="str">
        <f t="shared" si="60"/>
        <v>037</v>
      </c>
      <c r="D1096" s="7" t="str">
        <f>"14"</f>
        <v>14</v>
      </c>
      <c r="E1096" s="8">
        <v>0</v>
      </c>
      <c r="F1096" s="7" t="s">
        <v>8</v>
      </c>
    </row>
    <row r="1097" s="2" customFormat="1" ht="14.1" customHeight="1" spans="1:6">
      <c r="A1097" s="7" t="str">
        <f>"2102203715"</f>
        <v>2102203715</v>
      </c>
      <c r="B1097" s="7" t="str">
        <f t="shared" si="61"/>
        <v>2021022</v>
      </c>
      <c r="C1097" s="7" t="str">
        <f t="shared" si="60"/>
        <v>037</v>
      </c>
      <c r="D1097" s="7" t="str">
        <f>"15"</f>
        <v>15</v>
      </c>
      <c r="E1097" s="8">
        <v>0</v>
      </c>
      <c r="F1097" s="7" t="s">
        <v>8</v>
      </c>
    </row>
    <row r="1098" s="2" customFormat="1" ht="14.1" customHeight="1" spans="1:6">
      <c r="A1098" s="7" t="str">
        <f>"2102203716"</f>
        <v>2102203716</v>
      </c>
      <c r="B1098" s="7" t="str">
        <f t="shared" si="61"/>
        <v>2021022</v>
      </c>
      <c r="C1098" s="7" t="str">
        <f t="shared" si="60"/>
        <v>037</v>
      </c>
      <c r="D1098" s="7" t="str">
        <f>"16"</f>
        <v>16</v>
      </c>
      <c r="E1098" s="8">
        <v>0</v>
      </c>
      <c r="F1098" s="7" t="s">
        <v>8</v>
      </c>
    </row>
    <row r="1099" s="2" customFormat="1" ht="14.1" customHeight="1" spans="1:6">
      <c r="A1099" s="7" t="str">
        <f>"2102203717"</f>
        <v>2102203717</v>
      </c>
      <c r="B1099" s="7" t="str">
        <f t="shared" si="61"/>
        <v>2021022</v>
      </c>
      <c r="C1099" s="7" t="str">
        <f t="shared" si="60"/>
        <v>037</v>
      </c>
      <c r="D1099" s="7" t="str">
        <f>"17"</f>
        <v>17</v>
      </c>
      <c r="E1099" s="8">
        <v>73.1</v>
      </c>
      <c r="F1099" s="7" t="s">
        <v>7</v>
      </c>
    </row>
    <row r="1100" s="2" customFormat="1" ht="14.1" customHeight="1" spans="1:6">
      <c r="A1100" s="7" t="str">
        <f>"2102203718"</f>
        <v>2102203718</v>
      </c>
      <c r="B1100" s="7" t="str">
        <f t="shared" si="61"/>
        <v>2021022</v>
      </c>
      <c r="C1100" s="7" t="str">
        <f t="shared" si="60"/>
        <v>037</v>
      </c>
      <c r="D1100" s="7" t="str">
        <f>"18"</f>
        <v>18</v>
      </c>
      <c r="E1100" s="8">
        <v>0</v>
      </c>
      <c r="F1100" s="7" t="s">
        <v>8</v>
      </c>
    </row>
    <row r="1101" s="2" customFormat="1" ht="14.1" customHeight="1" spans="1:6">
      <c r="A1101" s="7" t="str">
        <f>"2102203719"</f>
        <v>2102203719</v>
      </c>
      <c r="B1101" s="7" t="str">
        <f t="shared" si="61"/>
        <v>2021022</v>
      </c>
      <c r="C1101" s="7" t="str">
        <f t="shared" si="60"/>
        <v>037</v>
      </c>
      <c r="D1101" s="7" t="str">
        <f>"19"</f>
        <v>19</v>
      </c>
      <c r="E1101" s="8">
        <v>73.9</v>
      </c>
      <c r="F1101" s="7" t="s">
        <v>7</v>
      </c>
    </row>
    <row r="1102" s="2" customFormat="1" ht="14.1" customHeight="1" spans="1:6">
      <c r="A1102" s="7" t="str">
        <f>"2102203720"</f>
        <v>2102203720</v>
      </c>
      <c r="B1102" s="7" t="str">
        <f t="shared" si="61"/>
        <v>2021022</v>
      </c>
      <c r="C1102" s="7" t="str">
        <f t="shared" si="60"/>
        <v>037</v>
      </c>
      <c r="D1102" s="7" t="str">
        <f>"20"</f>
        <v>20</v>
      </c>
      <c r="E1102" s="8">
        <v>60</v>
      </c>
      <c r="F1102" s="7" t="s">
        <v>7</v>
      </c>
    </row>
    <row r="1103" s="2" customFormat="1" ht="14.1" customHeight="1" spans="1:6">
      <c r="A1103" s="7" t="str">
        <f>"2102203721"</f>
        <v>2102203721</v>
      </c>
      <c r="B1103" s="7" t="str">
        <f t="shared" si="61"/>
        <v>2021022</v>
      </c>
      <c r="C1103" s="7" t="str">
        <f t="shared" si="60"/>
        <v>037</v>
      </c>
      <c r="D1103" s="7" t="str">
        <f>"21"</f>
        <v>21</v>
      </c>
      <c r="E1103" s="8">
        <v>78.1</v>
      </c>
      <c r="F1103" s="7" t="s">
        <v>7</v>
      </c>
    </row>
    <row r="1104" s="2" customFormat="1" ht="14.1" customHeight="1" spans="1:6">
      <c r="A1104" s="7" t="str">
        <f>"2102203722"</f>
        <v>2102203722</v>
      </c>
      <c r="B1104" s="7" t="str">
        <f t="shared" si="61"/>
        <v>2021022</v>
      </c>
      <c r="C1104" s="7" t="str">
        <f t="shared" si="60"/>
        <v>037</v>
      </c>
      <c r="D1104" s="7" t="str">
        <f>"22"</f>
        <v>22</v>
      </c>
      <c r="E1104" s="8">
        <v>66</v>
      </c>
      <c r="F1104" s="7" t="s">
        <v>7</v>
      </c>
    </row>
    <row r="1105" s="2" customFormat="1" ht="14.1" customHeight="1" spans="1:6">
      <c r="A1105" s="7" t="str">
        <f>"2102203723"</f>
        <v>2102203723</v>
      </c>
      <c r="B1105" s="7" t="str">
        <f t="shared" si="61"/>
        <v>2021022</v>
      </c>
      <c r="C1105" s="7" t="str">
        <f t="shared" si="60"/>
        <v>037</v>
      </c>
      <c r="D1105" s="7" t="str">
        <f>"23"</f>
        <v>23</v>
      </c>
      <c r="E1105" s="8">
        <v>57.5</v>
      </c>
      <c r="F1105" s="7" t="s">
        <v>7</v>
      </c>
    </row>
    <row r="1106" s="2" customFormat="1" ht="14.1" customHeight="1" spans="1:6">
      <c r="A1106" s="7" t="str">
        <f>"2102203724"</f>
        <v>2102203724</v>
      </c>
      <c r="B1106" s="7" t="str">
        <f t="shared" si="61"/>
        <v>2021022</v>
      </c>
      <c r="C1106" s="7" t="str">
        <f t="shared" si="60"/>
        <v>037</v>
      </c>
      <c r="D1106" s="7" t="str">
        <f>"24"</f>
        <v>24</v>
      </c>
      <c r="E1106" s="8">
        <v>63.3</v>
      </c>
      <c r="F1106" s="7" t="s">
        <v>7</v>
      </c>
    </row>
    <row r="1107" s="2" customFormat="1" ht="14.1" customHeight="1" spans="1:6">
      <c r="A1107" s="7" t="str">
        <f>"2102203725"</f>
        <v>2102203725</v>
      </c>
      <c r="B1107" s="7" t="str">
        <f t="shared" si="61"/>
        <v>2021022</v>
      </c>
      <c r="C1107" s="7" t="str">
        <f t="shared" si="60"/>
        <v>037</v>
      </c>
      <c r="D1107" s="7" t="str">
        <f>"25"</f>
        <v>25</v>
      </c>
      <c r="E1107" s="8">
        <v>0</v>
      </c>
      <c r="F1107" s="7" t="s">
        <v>8</v>
      </c>
    </row>
    <row r="1108" s="2" customFormat="1" ht="14.1" customHeight="1" spans="1:6">
      <c r="A1108" s="7" t="str">
        <f>"2102203726"</f>
        <v>2102203726</v>
      </c>
      <c r="B1108" s="7" t="str">
        <f t="shared" si="61"/>
        <v>2021022</v>
      </c>
      <c r="C1108" s="7" t="str">
        <f t="shared" si="60"/>
        <v>037</v>
      </c>
      <c r="D1108" s="7" t="str">
        <f>"26"</f>
        <v>26</v>
      </c>
      <c r="E1108" s="8">
        <v>60.4</v>
      </c>
      <c r="F1108" s="7" t="s">
        <v>7</v>
      </c>
    </row>
    <row r="1109" s="2" customFormat="1" ht="14.1" customHeight="1" spans="1:6">
      <c r="A1109" s="7" t="str">
        <f>"2102203727"</f>
        <v>2102203727</v>
      </c>
      <c r="B1109" s="7" t="str">
        <f t="shared" si="61"/>
        <v>2021022</v>
      </c>
      <c r="C1109" s="7" t="str">
        <f t="shared" si="60"/>
        <v>037</v>
      </c>
      <c r="D1109" s="7" t="str">
        <f>"27"</f>
        <v>27</v>
      </c>
      <c r="E1109" s="8">
        <v>0</v>
      </c>
      <c r="F1109" s="7" t="s">
        <v>8</v>
      </c>
    </row>
    <row r="1110" s="2" customFormat="1" ht="14.1" customHeight="1" spans="1:6">
      <c r="A1110" s="7" t="str">
        <f>"2102203728"</f>
        <v>2102203728</v>
      </c>
      <c r="B1110" s="7" t="str">
        <f t="shared" si="61"/>
        <v>2021022</v>
      </c>
      <c r="C1110" s="7" t="str">
        <f t="shared" si="60"/>
        <v>037</v>
      </c>
      <c r="D1110" s="7" t="str">
        <f>"28"</f>
        <v>28</v>
      </c>
      <c r="E1110" s="8">
        <v>64.3</v>
      </c>
      <c r="F1110" s="7" t="s">
        <v>7</v>
      </c>
    </row>
    <row r="1111" s="2" customFormat="1" ht="14.1" customHeight="1" spans="1:6">
      <c r="A1111" s="7" t="str">
        <f>"2102203729"</f>
        <v>2102203729</v>
      </c>
      <c r="B1111" s="7" t="str">
        <f t="shared" si="61"/>
        <v>2021022</v>
      </c>
      <c r="C1111" s="7" t="str">
        <f t="shared" si="60"/>
        <v>037</v>
      </c>
      <c r="D1111" s="7" t="str">
        <f>"29"</f>
        <v>29</v>
      </c>
      <c r="E1111" s="8">
        <v>0</v>
      </c>
      <c r="F1111" s="7" t="s">
        <v>8</v>
      </c>
    </row>
    <row r="1112" s="2" customFormat="1" ht="14.1" customHeight="1" spans="1:6">
      <c r="A1112" s="7" t="str">
        <f>"2102203730"</f>
        <v>2102203730</v>
      </c>
      <c r="B1112" s="7" t="str">
        <f t="shared" si="61"/>
        <v>2021022</v>
      </c>
      <c r="C1112" s="7" t="str">
        <f t="shared" si="60"/>
        <v>037</v>
      </c>
      <c r="D1112" s="7" t="str">
        <f>"30"</f>
        <v>30</v>
      </c>
      <c r="E1112" s="8">
        <v>63.7</v>
      </c>
      <c r="F1112" s="7" t="s">
        <v>7</v>
      </c>
    </row>
    <row r="1113" s="2" customFormat="1" ht="14.1" customHeight="1" spans="1:6">
      <c r="A1113" s="7" t="str">
        <f>"2102203801"</f>
        <v>2102203801</v>
      </c>
      <c r="B1113" s="7" t="str">
        <f t="shared" si="61"/>
        <v>2021022</v>
      </c>
      <c r="C1113" s="7" t="str">
        <f t="shared" ref="C1113:C1142" si="62">"038"</f>
        <v>038</v>
      </c>
      <c r="D1113" s="7" t="str">
        <f>"01"</f>
        <v>01</v>
      </c>
      <c r="E1113" s="8">
        <v>0</v>
      </c>
      <c r="F1113" s="7" t="s">
        <v>8</v>
      </c>
    </row>
    <row r="1114" s="2" customFormat="1" ht="14.1" customHeight="1" spans="1:6">
      <c r="A1114" s="7" t="str">
        <f>"2102203802"</f>
        <v>2102203802</v>
      </c>
      <c r="B1114" s="7" t="str">
        <f t="shared" si="61"/>
        <v>2021022</v>
      </c>
      <c r="C1114" s="7" t="str">
        <f t="shared" si="62"/>
        <v>038</v>
      </c>
      <c r="D1114" s="7" t="str">
        <f>"02"</f>
        <v>02</v>
      </c>
      <c r="E1114" s="8">
        <v>65.4</v>
      </c>
      <c r="F1114" s="7" t="s">
        <v>7</v>
      </c>
    </row>
    <row r="1115" s="2" customFormat="1" ht="14.1" customHeight="1" spans="1:6">
      <c r="A1115" s="7" t="str">
        <f>"2102203803"</f>
        <v>2102203803</v>
      </c>
      <c r="B1115" s="7" t="str">
        <f t="shared" si="61"/>
        <v>2021022</v>
      </c>
      <c r="C1115" s="7" t="str">
        <f t="shared" si="62"/>
        <v>038</v>
      </c>
      <c r="D1115" s="7" t="str">
        <f>"03"</f>
        <v>03</v>
      </c>
      <c r="E1115" s="8">
        <v>0</v>
      </c>
      <c r="F1115" s="7" t="s">
        <v>8</v>
      </c>
    </row>
    <row r="1116" s="2" customFormat="1" ht="14.1" customHeight="1" spans="1:6">
      <c r="A1116" s="7" t="str">
        <f>"2102203804"</f>
        <v>2102203804</v>
      </c>
      <c r="B1116" s="7" t="str">
        <f t="shared" si="61"/>
        <v>2021022</v>
      </c>
      <c r="C1116" s="7" t="str">
        <f t="shared" si="62"/>
        <v>038</v>
      </c>
      <c r="D1116" s="7" t="str">
        <f>"04"</f>
        <v>04</v>
      </c>
      <c r="E1116" s="8">
        <v>0</v>
      </c>
      <c r="F1116" s="7" t="s">
        <v>8</v>
      </c>
    </row>
    <row r="1117" s="2" customFormat="1" ht="14.1" customHeight="1" spans="1:6">
      <c r="A1117" s="7" t="str">
        <f>"2102203805"</f>
        <v>2102203805</v>
      </c>
      <c r="B1117" s="7" t="str">
        <f t="shared" si="61"/>
        <v>2021022</v>
      </c>
      <c r="C1117" s="7" t="str">
        <f t="shared" si="62"/>
        <v>038</v>
      </c>
      <c r="D1117" s="7" t="str">
        <f>"05"</f>
        <v>05</v>
      </c>
      <c r="E1117" s="8">
        <v>0</v>
      </c>
      <c r="F1117" s="7" t="s">
        <v>8</v>
      </c>
    </row>
    <row r="1118" s="2" customFormat="1" ht="14.1" customHeight="1" spans="1:6">
      <c r="A1118" s="7" t="str">
        <f>"2102203806"</f>
        <v>2102203806</v>
      </c>
      <c r="B1118" s="7" t="str">
        <f t="shared" si="61"/>
        <v>2021022</v>
      </c>
      <c r="C1118" s="7" t="str">
        <f t="shared" si="62"/>
        <v>038</v>
      </c>
      <c r="D1118" s="7" t="str">
        <f>"06"</f>
        <v>06</v>
      </c>
      <c r="E1118" s="8">
        <v>66.8</v>
      </c>
      <c r="F1118" s="7" t="s">
        <v>7</v>
      </c>
    </row>
    <row r="1119" s="2" customFormat="1" ht="14.1" customHeight="1" spans="1:6">
      <c r="A1119" s="7" t="str">
        <f>"2102203807"</f>
        <v>2102203807</v>
      </c>
      <c r="B1119" s="7" t="str">
        <f t="shared" si="61"/>
        <v>2021022</v>
      </c>
      <c r="C1119" s="7" t="str">
        <f t="shared" si="62"/>
        <v>038</v>
      </c>
      <c r="D1119" s="7" t="str">
        <f>"07"</f>
        <v>07</v>
      </c>
      <c r="E1119" s="8">
        <v>62.9</v>
      </c>
      <c r="F1119" s="7" t="s">
        <v>7</v>
      </c>
    </row>
    <row r="1120" s="2" customFormat="1" ht="14.1" customHeight="1" spans="1:6">
      <c r="A1120" s="7" t="str">
        <f>"2102203808"</f>
        <v>2102203808</v>
      </c>
      <c r="B1120" s="7" t="str">
        <f t="shared" si="61"/>
        <v>2021022</v>
      </c>
      <c r="C1120" s="7" t="str">
        <f t="shared" si="62"/>
        <v>038</v>
      </c>
      <c r="D1120" s="7" t="str">
        <f>"08"</f>
        <v>08</v>
      </c>
      <c r="E1120" s="8">
        <v>0</v>
      </c>
      <c r="F1120" s="7" t="s">
        <v>8</v>
      </c>
    </row>
    <row r="1121" s="2" customFormat="1" ht="14.1" customHeight="1" spans="1:6">
      <c r="A1121" s="7" t="str">
        <f>"2102203809"</f>
        <v>2102203809</v>
      </c>
      <c r="B1121" s="7" t="str">
        <f t="shared" si="61"/>
        <v>2021022</v>
      </c>
      <c r="C1121" s="7" t="str">
        <f t="shared" si="62"/>
        <v>038</v>
      </c>
      <c r="D1121" s="7" t="str">
        <f>"09"</f>
        <v>09</v>
      </c>
      <c r="E1121" s="8">
        <v>57.3</v>
      </c>
      <c r="F1121" s="7" t="s">
        <v>7</v>
      </c>
    </row>
    <row r="1122" s="2" customFormat="1" ht="14.1" customHeight="1" spans="1:6">
      <c r="A1122" s="7" t="str">
        <f>"2102203810"</f>
        <v>2102203810</v>
      </c>
      <c r="B1122" s="7" t="str">
        <f t="shared" si="61"/>
        <v>2021022</v>
      </c>
      <c r="C1122" s="7" t="str">
        <f t="shared" si="62"/>
        <v>038</v>
      </c>
      <c r="D1122" s="7" t="str">
        <f>"10"</f>
        <v>10</v>
      </c>
      <c r="E1122" s="8">
        <v>0</v>
      </c>
      <c r="F1122" s="7" t="s">
        <v>8</v>
      </c>
    </row>
    <row r="1123" s="2" customFormat="1" ht="14.1" customHeight="1" spans="1:6">
      <c r="A1123" s="7" t="str">
        <f>"2102203811"</f>
        <v>2102203811</v>
      </c>
      <c r="B1123" s="7" t="str">
        <f t="shared" si="61"/>
        <v>2021022</v>
      </c>
      <c r="C1123" s="7" t="str">
        <f t="shared" si="62"/>
        <v>038</v>
      </c>
      <c r="D1123" s="7" t="str">
        <f>"11"</f>
        <v>11</v>
      </c>
      <c r="E1123" s="8">
        <v>0</v>
      </c>
      <c r="F1123" s="7" t="s">
        <v>8</v>
      </c>
    </row>
    <row r="1124" s="2" customFormat="1" ht="14.1" customHeight="1" spans="1:6">
      <c r="A1124" s="7" t="str">
        <f>"2102203812"</f>
        <v>2102203812</v>
      </c>
      <c r="B1124" s="7" t="str">
        <f t="shared" si="61"/>
        <v>2021022</v>
      </c>
      <c r="C1124" s="7" t="str">
        <f t="shared" si="62"/>
        <v>038</v>
      </c>
      <c r="D1124" s="7" t="str">
        <f>"12"</f>
        <v>12</v>
      </c>
      <c r="E1124" s="8">
        <v>63.2</v>
      </c>
      <c r="F1124" s="7" t="s">
        <v>7</v>
      </c>
    </row>
    <row r="1125" s="2" customFormat="1" ht="14.1" customHeight="1" spans="1:6">
      <c r="A1125" s="7" t="str">
        <f>"2102203813"</f>
        <v>2102203813</v>
      </c>
      <c r="B1125" s="7" t="str">
        <f t="shared" si="61"/>
        <v>2021022</v>
      </c>
      <c r="C1125" s="7" t="str">
        <f t="shared" si="62"/>
        <v>038</v>
      </c>
      <c r="D1125" s="7" t="str">
        <f>"13"</f>
        <v>13</v>
      </c>
      <c r="E1125" s="8">
        <v>0</v>
      </c>
      <c r="F1125" s="7" t="s">
        <v>8</v>
      </c>
    </row>
    <row r="1126" s="2" customFormat="1" ht="14.1" customHeight="1" spans="1:6">
      <c r="A1126" s="7" t="str">
        <f>"2102203814"</f>
        <v>2102203814</v>
      </c>
      <c r="B1126" s="7" t="str">
        <f t="shared" si="61"/>
        <v>2021022</v>
      </c>
      <c r="C1126" s="7" t="str">
        <f t="shared" si="62"/>
        <v>038</v>
      </c>
      <c r="D1126" s="7" t="str">
        <f>"14"</f>
        <v>14</v>
      </c>
      <c r="E1126" s="8">
        <v>61.1</v>
      </c>
      <c r="F1126" s="7" t="s">
        <v>7</v>
      </c>
    </row>
    <row r="1127" s="2" customFormat="1" ht="14.1" customHeight="1" spans="1:6">
      <c r="A1127" s="7" t="str">
        <f>"2102203815"</f>
        <v>2102203815</v>
      </c>
      <c r="B1127" s="7" t="str">
        <f t="shared" si="61"/>
        <v>2021022</v>
      </c>
      <c r="C1127" s="7" t="str">
        <f t="shared" si="62"/>
        <v>038</v>
      </c>
      <c r="D1127" s="7" t="str">
        <f>"15"</f>
        <v>15</v>
      </c>
      <c r="E1127" s="8">
        <v>61.4</v>
      </c>
      <c r="F1127" s="7" t="s">
        <v>7</v>
      </c>
    </row>
    <row r="1128" s="2" customFormat="1" ht="14.1" customHeight="1" spans="1:6">
      <c r="A1128" s="7" t="str">
        <f>"2102203816"</f>
        <v>2102203816</v>
      </c>
      <c r="B1128" s="7" t="str">
        <f t="shared" si="61"/>
        <v>2021022</v>
      </c>
      <c r="C1128" s="7" t="str">
        <f t="shared" si="62"/>
        <v>038</v>
      </c>
      <c r="D1128" s="7" t="str">
        <f>"16"</f>
        <v>16</v>
      </c>
      <c r="E1128" s="8">
        <v>66.1</v>
      </c>
      <c r="F1128" s="7" t="s">
        <v>7</v>
      </c>
    </row>
    <row r="1129" s="2" customFormat="1" ht="14.1" customHeight="1" spans="1:6">
      <c r="A1129" s="7" t="str">
        <f>"2102203817"</f>
        <v>2102203817</v>
      </c>
      <c r="B1129" s="7" t="str">
        <f t="shared" si="61"/>
        <v>2021022</v>
      </c>
      <c r="C1129" s="7" t="str">
        <f t="shared" si="62"/>
        <v>038</v>
      </c>
      <c r="D1129" s="7" t="str">
        <f>"17"</f>
        <v>17</v>
      </c>
      <c r="E1129" s="8">
        <v>72.7</v>
      </c>
      <c r="F1129" s="7" t="s">
        <v>7</v>
      </c>
    </row>
    <row r="1130" s="2" customFormat="1" ht="14.1" customHeight="1" spans="1:6">
      <c r="A1130" s="7" t="str">
        <f>"2102203818"</f>
        <v>2102203818</v>
      </c>
      <c r="B1130" s="7" t="str">
        <f t="shared" si="61"/>
        <v>2021022</v>
      </c>
      <c r="C1130" s="7" t="str">
        <f t="shared" si="62"/>
        <v>038</v>
      </c>
      <c r="D1130" s="7" t="str">
        <f>"18"</f>
        <v>18</v>
      </c>
      <c r="E1130" s="8">
        <v>65.8</v>
      </c>
      <c r="F1130" s="7" t="s">
        <v>7</v>
      </c>
    </row>
    <row r="1131" s="2" customFormat="1" ht="14.1" customHeight="1" spans="1:6">
      <c r="A1131" s="7" t="str">
        <f>"2102203819"</f>
        <v>2102203819</v>
      </c>
      <c r="B1131" s="7" t="str">
        <f t="shared" si="61"/>
        <v>2021022</v>
      </c>
      <c r="C1131" s="7" t="str">
        <f t="shared" si="62"/>
        <v>038</v>
      </c>
      <c r="D1131" s="7" t="str">
        <f>"19"</f>
        <v>19</v>
      </c>
      <c r="E1131" s="8">
        <v>68.9</v>
      </c>
      <c r="F1131" s="7" t="s">
        <v>7</v>
      </c>
    </row>
    <row r="1132" s="2" customFormat="1" ht="14.1" customHeight="1" spans="1:6">
      <c r="A1132" s="7" t="str">
        <f>"2102203820"</f>
        <v>2102203820</v>
      </c>
      <c r="B1132" s="7" t="str">
        <f t="shared" si="61"/>
        <v>2021022</v>
      </c>
      <c r="C1132" s="7" t="str">
        <f t="shared" si="62"/>
        <v>038</v>
      </c>
      <c r="D1132" s="7" t="str">
        <f>"20"</f>
        <v>20</v>
      </c>
      <c r="E1132" s="8">
        <v>64.3</v>
      </c>
      <c r="F1132" s="7" t="s">
        <v>7</v>
      </c>
    </row>
    <row r="1133" s="2" customFormat="1" ht="14.1" customHeight="1" spans="1:6">
      <c r="A1133" s="7" t="str">
        <f>"2102203821"</f>
        <v>2102203821</v>
      </c>
      <c r="B1133" s="7" t="str">
        <f t="shared" si="61"/>
        <v>2021022</v>
      </c>
      <c r="C1133" s="7" t="str">
        <f t="shared" si="62"/>
        <v>038</v>
      </c>
      <c r="D1133" s="7" t="str">
        <f>"21"</f>
        <v>21</v>
      </c>
      <c r="E1133" s="8">
        <v>61.9</v>
      </c>
      <c r="F1133" s="7" t="s">
        <v>7</v>
      </c>
    </row>
    <row r="1134" s="2" customFormat="1" ht="14.1" customHeight="1" spans="1:6">
      <c r="A1134" s="7" t="str">
        <f>"2102203822"</f>
        <v>2102203822</v>
      </c>
      <c r="B1134" s="7" t="str">
        <f t="shared" si="61"/>
        <v>2021022</v>
      </c>
      <c r="C1134" s="7" t="str">
        <f t="shared" si="62"/>
        <v>038</v>
      </c>
      <c r="D1134" s="7" t="str">
        <f>"22"</f>
        <v>22</v>
      </c>
      <c r="E1134" s="8">
        <v>0</v>
      </c>
      <c r="F1134" s="7" t="s">
        <v>8</v>
      </c>
    </row>
    <row r="1135" s="2" customFormat="1" ht="14.1" customHeight="1" spans="1:6">
      <c r="A1135" s="7" t="str">
        <f>"2102203823"</f>
        <v>2102203823</v>
      </c>
      <c r="B1135" s="7" t="str">
        <f t="shared" si="61"/>
        <v>2021022</v>
      </c>
      <c r="C1135" s="7" t="str">
        <f t="shared" si="62"/>
        <v>038</v>
      </c>
      <c r="D1135" s="7" t="str">
        <f>"23"</f>
        <v>23</v>
      </c>
      <c r="E1135" s="8">
        <v>0</v>
      </c>
      <c r="F1135" s="7" t="s">
        <v>8</v>
      </c>
    </row>
    <row r="1136" s="2" customFormat="1" ht="14.1" customHeight="1" spans="1:6">
      <c r="A1136" s="7" t="str">
        <f>"2102203824"</f>
        <v>2102203824</v>
      </c>
      <c r="B1136" s="7" t="str">
        <f t="shared" si="61"/>
        <v>2021022</v>
      </c>
      <c r="C1136" s="7" t="str">
        <f t="shared" si="62"/>
        <v>038</v>
      </c>
      <c r="D1136" s="7" t="str">
        <f>"24"</f>
        <v>24</v>
      </c>
      <c r="E1136" s="8">
        <v>0</v>
      </c>
      <c r="F1136" s="7" t="s">
        <v>8</v>
      </c>
    </row>
    <row r="1137" s="2" customFormat="1" ht="14.1" customHeight="1" spans="1:6">
      <c r="A1137" s="7" t="str">
        <f>"2102203825"</f>
        <v>2102203825</v>
      </c>
      <c r="B1137" s="7" t="str">
        <f t="shared" si="61"/>
        <v>2021022</v>
      </c>
      <c r="C1137" s="7" t="str">
        <f t="shared" si="62"/>
        <v>038</v>
      </c>
      <c r="D1137" s="7" t="str">
        <f>"25"</f>
        <v>25</v>
      </c>
      <c r="E1137" s="8">
        <v>63.4</v>
      </c>
      <c r="F1137" s="7" t="s">
        <v>7</v>
      </c>
    </row>
    <row r="1138" s="2" customFormat="1" ht="14.1" customHeight="1" spans="1:6">
      <c r="A1138" s="7" t="str">
        <f>"2102203826"</f>
        <v>2102203826</v>
      </c>
      <c r="B1138" s="7" t="str">
        <f t="shared" si="61"/>
        <v>2021022</v>
      </c>
      <c r="C1138" s="7" t="str">
        <f t="shared" si="62"/>
        <v>038</v>
      </c>
      <c r="D1138" s="7" t="str">
        <f>"26"</f>
        <v>26</v>
      </c>
      <c r="E1138" s="8">
        <v>58.9</v>
      </c>
      <c r="F1138" s="7" t="s">
        <v>7</v>
      </c>
    </row>
    <row r="1139" s="2" customFormat="1" ht="14.1" customHeight="1" spans="1:6">
      <c r="A1139" s="7" t="str">
        <f>"2102203827"</f>
        <v>2102203827</v>
      </c>
      <c r="B1139" s="7" t="str">
        <f t="shared" si="61"/>
        <v>2021022</v>
      </c>
      <c r="C1139" s="7" t="str">
        <f t="shared" si="62"/>
        <v>038</v>
      </c>
      <c r="D1139" s="7" t="str">
        <f>"27"</f>
        <v>27</v>
      </c>
      <c r="E1139" s="8">
        <v>65.6</v>
      </c>
      <c r="F1139" s="7" t="s">
        <v>7</v>
      </c>
    </row>
    <row r="1140" s="2" customFormat="1" ht="14.1" customHeight="1" spans="1:6">
      <c r="A1140" s="7" t="str">
        <f>"2102203828"</f>
        <v>2102203828</v>
      </c>
      <c r="B1140" s="7" t="str">
        <f t="shared" si="61"/>
        <v>2021022</v>
      </c>
      <c r="C1140" s="7" t="str">
        <f t="shared" si="62"/>
        <v>038</v>
      </c>
      <c r="D1140" s="7" t="str">
        <f>"28"</f>
        <v>28</v>
      </c>
      <c r="E1140" s="8">
        <v>64.8</v>
      </c>
      <c r="F1140" s="7" t="s">
        <v>7</v>
      </c>
    </row>
    <row r="1141" s="2" customFormat="1" ht="14.1" customHeight="1" spans="1:6">
      <c r="A1141" s="7" t="str">
        <f>"2102203829"</f>
        <v>2102203829</v>
      </c>
      <c r="B1141" s="7" t="str">
        <f t="shared" si="61"/>
        <v>2021022</v>
      </c>
      <c r="C1141" s="7" t="str">
        <f t="shared" si="62"/>
        <v>038</v>
      </c>
      <c r="D1141" s="7" t="str">
        <f>"29"</f>
        <v>29</v>
      </c>
      <c r="E1141" s="8">
        <v>65.4</v>
      </c>
      <c r="F1141" s="7" t="s">
        <v>7</v>
      </c>
    </row>
    <row r="1142" s="2" customFormat="1" ht="14.1" customHeight="1" spans="1:6">
      <c r="A1142" s="7" t="str">
        <f>"2102203830"</f>
        <v>2102203830</v>
      </c>
      <c r="B1142" s="7" t="str">
        <f t="shared" si="61"/>
        <v>2021022</v>
      </c>
      <c r="C1142" s="7" t="str">
        <f t="shared" si="62"/>
        <v>038</v>
      </c>
      <c r="D1142" s="7" t="str">
        <f>"30"</f>
        <v>30</v>
      </c>
      <c r="E1142" s="8">
        <v>72.9</v>
      </c>
      <c r="F1142" s="7" t="s">
        <v>7</v>
      </c>
    </row>
    <row r="1143" s="2" customFormat="1" ht="14.1" customHeight="1" spans="1:6">
      <c r="A1143" s="7" t="str">
        <f>"2102203901"</f>
        <v>2102203901</v>
      </c>
      <c r="B1143" s="7" t="str">
        <f t="shared" si="61"/>
        <v>2021022</v>
      </c>
      <c r="C1143" s="7" t="str">
        <f t="shared" ref="C1143:C1172" si="63">"039"</f>
        <v>039</v>
      </c>
      <c r="D1143" s="7" t="str">
        <f>"01"</f>
        <v>01</v>
      </c>
      <c r="E1143" s="8">
        <v>65.3</v>
      </c>
      <c r="F1143" s="7" t="s">
        <v>7</v>
      </c>
    </row>
    <row r="1144" s="2" customFormat="1" ht="14.1" customHeight="1" spans="1:6">
      <c r="A1144" s="7" t="str">
        <f>"2102203902"</f>
        <v>2102203902</v>
      </c>
      <c r="B1144" s="7" t="str">
        <f t="shared" si="61"/>
        <v>2021022</v>
      </c>
      <c r="C1144" s="7" t="str">
        <f t="shared" si="63"/>
        <v>039</v>
      </c>
      <c r="D1144" s="7" t="str">
        <f>"02"</f>
        <v>02</v>
      </c>
      <c r="E1144" s="8">
        <v>62.2</v>
      </c>
      <c r="F1144" s="7" t="s">
        <v>7</v>
      </c>
    </row>
    <row r="1145" s="2" customFormat="1" ht="14.1" customHeight="1" spans="1:6">
      <c r="A1145" s="7" t="str">
        <f>"2102203903"</f>
        <v>2102203903</v>
      </c>
      <c r="B1145" s="7" t="str">
        <f t="shared" si="61"/>
        <v>2021022</v>
      </c>
      <c r="C1145" s="7" t="str">
        <f t="shared" si="63"/>
        <v>039</v>
      </c>
      <c r="D1145" s="7" t="str">
        <f>"03"</f>
        <v>03</v>
      </c>
      <c r="E1145" s="8">
        <v>63.9</v>
      </c>
      <c r="F1145" s="7" t="s">
        <v>7</v>
      </c>
    </row>
    <row r="1146" s="2" customFormat="1" ht="14.1" customHeight="1" spans="1:6">
      <c r="A1146" s="7" t="str">
        <f>"2102203904"</f>
        <v>2102203904</v>
      </c>
      <c r="B1146" s="7" t="str">
        <f t="shared" si="61"/>
        <v>2021022</v>
      </c>
      <c r="C1146" s="7" t="str">
        <f t="shared" si="63"/>
        <v>039</v>
      </c>
      <c r="D1146" s="7" t="str">
        <f>"04"</f>
        <v>04</v>
      </c>
      <c r="E1146" s="8">
        <v>0</v>
      </c>
      <c r="F1146" s="7" t="s">
        <v>8</v>
      </c>
    </row>
    <row r="1147" s="2" customFormat="1" ht="14.1" customHeight="1" spans="1:6">
      <c r="A1147" s="7" t="str">
        <f>"2102203905"</f>
        <v>2102203905</v>
      </c>
      <c r="B1147" s="7" t="str">
        <f t="shared" si="61"/>
        <v>2021022</v>
      </c>
      <c r="C1147" s="7" t="str">
        <f t="shared" si="63"/>
        <v>039</v>
      </c>
      <c r="D1147" s="7" t="str">
        <f>"05"</f>
        <v>05</v>
      </c>
      <c r="E1147" s="8">
        <v>66.3</v>
      </c>
      <c r="F1147" s="7" t="s">
        <v>7</v>
      </c>
    </row>
    <row r="1148" s="2" customFormat="1" ht="14.1" customHeight="1" spans="1:6">
      <c r="A1148" s="7" t="str">
        <f>"2102203906"</f>
        <v>2102203906</v>
      </c>
      <c r="B1148" s="7" t="str">
        <f t="shared" si="61"/>
        <v>2021022</v>
      </c>
      <c r="C1148" s="7" t="str">
        <f t="shared" si="63"/>
        <v>039</v>
      </c>
      <c r="D1148" s="7" t="str">
        <f>"06"</f>
        <v>06</v>
      </c>
      <c r="E1148" s="8">
        <v>0</v>
      </c>
      <c r="F1148" s="7" t="s">
        <v>8</v>
      </c>
    </row>
    <row r="1149" s="2" customFormat="1" ht="14.1" customHeight="1" spans="1:6">
      <c r="A1149" s="7" t="str">
        <f>"2102203907"</f>
        <v>2102203907</v>
      </c>
      <c r="B1149" s="7" t="str">
        <f t="shared" si="61"/>
        <v>2021022</v>
      </c>
      <c r="C1149" s="7" t="str">
        <f t="shared" si="63"/>
        <v>039</v>
      </c>
      <c r="D1149" s="7" t="str">
        <f>"07"</f>
        <v>07</v>
      </c>
      <c r="E1149" s="8">
        <v>0</v>
      </c>
      <c r="F1149" s="7" t="s">
        <v>8</v>
      </c>
    </row>
    <row r="1150" s="2" customFormat="1" ht="14.1" customHeight="1" spans="1:6">
      <c r="A1150" s="7" t="str">
        <f>"2102403908"</f>
        <v>2102403908</v>
      </c>
      <c r="B1150" s="7" t="str">
        <f t="shared" ref="B1150:B1176" si="64">"2021024"</f>
        <v>2021024</v>
      </c>
      <c r="C1150" s="7" t="str">
        <f t="shared" si="63"/>
        <v>039</v>
      </c>
      <c r="D1150" s="7" t="str">
        <f>"08"</f>
        <v>08</v>
      </c>
      <c r="E1150" s="8">
        <v>56</v>
      </c>
      <c r="F1150" s="7" t="s">
        <v>7</v>
      </c>
    </row>
    <row r="1151" s="2" customFormat="1" ht="14.1" customHeight="1" spans="1:6">
      <c r="A1151" s="7" t="str">
        <f>"2102403909"</f>
        <v>2102403909</v>
      </c>
      <c r="B1151" s="7" t="str">
        <f t="shared" si="64"/>
        <v>2021024</v>
      </c>
      <c r="C1151" s="7" t="str">
        <f t="shared" si="63"/>
        <v>039</v>
      </c>
      <c r="D1151" s="7" t="str">
        <f>"09"</f>
        <v>09</v>
      </c>
      <c r="E1151" s="8">
        <v>57.5</v>
      </c>
      <c r="F1151" s="7" t="s">
        <v>7</v>
      </c>
    </row>
    <row r="1152" s="2" customFormat="1" ht="14.1" customHeight="1" spans="1:6">
      <c r="A1152" s="7" t="str">
        <f>"2102403910"</f>
        <v>2102403910</v>
      </c>
      <c r="B1152" s="7" t="str">
        <f t="shared" si="64"/>
        <v>2021024</v>
      </c>
      <c r="C1152" s="7" t="str">
        <f t="shared" si="63"/>
        <v>039</v>
      </c>
      <c r="D1152" s="7" t="str">
        <f>"10"</f>
        <v>10</v>
      </c>
      <c r="E1152" s="8">
        <v>0</v>
      </c>
      <c r="F1152" s="7" t="s">
        <v>8</v>
      </c>
    </row>
    <row r="1153" s="2" customFormat="1" ht="14.1" customHeight="1" spans="1:6">
      <c r="A1153" s="7" t="str">
        <f>"2102403911"</f>
        <v>2102403911</v>
      </c>
      <c r="B1153" s="7" t="str">
        <f t="shared" si="64"/>
        <v>2021024</v>
      </c>
      <c r="C1153" s="7" t="str">
        <f t="shared" si="63"/>
        <v>039</v>
      </c>
      <c r="D1153" s="7" t="str">
        <f>"11"</f>
        <v>11</v>
      </c>
      <c r="E1153" s="8">
        <v>55.4</v>
      </c>
      <c r="F1153" s="7" t="s">
        <v>7</v>
      </c>
    </row>
    <row r="1154" s="2" customFormat="1" ht="14.1" customHeight="1" spans="1:6">
      <c r="A1154" s="7" t="str">
        <f>"2102403912"</f>
        <v>2102403912</v>
      </c>
      <c r="B1154" s="7" t="str">
        <f t="shared" si="64"/>
        <v>2021024</v>
      </c>
      <c r="C1154" s="7" t="str">
        <f t="shared" si="63"/>
        <v>039</v>
      </c>
      <c r="D1154" s="7" t="str">
        <f>"12"</f>
        <v>12</v>
      </c>
      <c r="E1154" s="8">
        <v>56.4</v>
      </c>
      <c r="F1154" s="7" t="s">
        <v>7</v>
      </c>
    </row>
    <row r="1155" s="2" customFormat="1" ht="14.1" customHeight="1" spans="1:6">
      <c r="A1155" s="7" t="str">
        <f>"2102403913"</f>
        <v>2102403913</v>
      </c>
      <c r="B1155" s="7" t="str">
        <f t="shared" si="64"/>
        <v>2021024</v>
      </c>
      <c r="C1155" s="7" t="str">
        <f t="shared" si="63"/>
        <v>039</v>
      </c>
      <c r="D1155" s="7" t="str">
        <f>"13"</f>
        <v>13</v>
      </c>
      <c r="E1155" s="8">
        <v>55.8</v>
      </c>
      <c r="F1155" s="7" t="s">
        <v>7</v>
      </c>
    </row>
    <row r="1156" s="2" customFormat="1" ht="14.1" customHeight="1" spans="1:6">
      <c r="A1156" s="7" t="str">
        <f>"2102403914"</f>
        <v>2102403914</v>
      </c>
      <c r="B1156" s="7" t="str">
        <f t="shared" si="64"/>
        <v>2021024</v>
      </c>
      <c r="C1156" s="7" t="str">
        <f t="shared" si="63"/>
        <v>039</v>
      </c>
      <c r="D1156" s="7" t="str">
        <f>"14"</f>
        <v>14</v>
      </c>
      <c r="E1156" s="8">
        <v>52.8</v>
      </c>
      <c r="F1156" s="7" t="s">
        <v>7</v>
      </c>
    </row>
    <row r="1157" s="2" customFormat="1" ht="14.1" customHeight="1" spans="1:6">
      <c r="A1157" s="7" t="str">
        <f>"2102403915"</f>
        <v>2102403915</v>
      </c>
      <c r="B1157" s="7" t="str">
        <f t="shared" si="64"/>
        <v>2021024</v>
      </c>
      <c r="C1157" s="7" t="str">
        <f t="shared" si="63"/>
        <v>039</v>
      </c>
      <c r="D1157" s="7" t="str">
        <f>"15"</f>
        <v>15</v>
      </c>
      <c r="E1157" s="8">
        <v>0</v>
      </c>
      <c r="F1157" s="7" t="s">
        <v>8</v>
      </c>
    </row>
    <row r="1158" s="2" customFormat="1" ht="14.1" customHeight="1" spans="1:6">
      <c r="A1158" s="7" t="str">
        <f>"2102403916"</f>
        <v>2102403916</v>
      </c>
      <c r="B1158" s="7" t="str">
        <f t="shared" si="64"/>
        <v>2021024</v>
      </c>
      <c r="C1158" s="7" t="str">
        <f t="shared" si="63"/>
        <v>039</v>
      </c>
      <c r="D1158" s="7" t="str">
        <f>"16"</f>
        <v>16</v>
      </c>
      <c r="E1158" s="8">
        <v>49.3</v>
      </c>
      <c r="F1158" s="7" t="s">
        <v>7</v>
      </c>
    </row>
    <row r="1159" s="2" customFormat="1" ht="14.1" customHeight="1" spans="1:6">
      <c r="A1159" s="7" t="str">
        <f>"2102403917"</f>
        <v>2102403917</v>
      </c>
      <c r="B1159" s="7" t="str">
        <f t="shared" si="64"/>
        <v>2021024</v>
      </c>
      <c r="C1159" s="7" t="str">
        <f t="shared" si="63"/>
        <v>039</v>
      </c>
      <c r="D1159" s="7" t="str">
        <f>"17"</f>
        <v>17</v>
      </c>
      <c r="E1159" s="8">
        <v>51.9</v>
      </c>
      <c r="F1159" s="7" t="s">
        <v>7</v>
      </c>
    </row>
    <row r="1160" s="2" customFormat="1" ht="14.1" customHeight="1" spans="1:6">
      <c r="A1160" s="7" t="str">
        <f>"2102403918"</f>
        <v>2102403918</v>
      </c>
      <c r="B1160" s="7" t="str">
        <f t="shared" si="64"/>
        <v>2021024</v>
      </c>
      <c r="C1160" s="7" t="str">
        <f t="shared" si="63"/>
        <v>039</v>
      </c>
      <c r="D1160" s="7" t="str">
        <f>"18"</f>
        <v>18</v>
      </c>
      <c r="E1160" s="8">
        <v>58.3</v>
      </c>
      <c r="F1160" s="7" t="s">
        <v>7</v>
      </c>
    </row>
    <row r="1161" s="2" customFormat="1" ht="14.1" customHeight="1" spans="1:6">
      <c r="A1161" s="7" t="str">
        <f>"2102403919"</f>
        <v>2102403919</v>
      </c>
      <c r="B1161" s="7" t="str">
        <f t="shared" si="64"/>
        <v>2021024</v>
      </c>
      <c r="C1161" s="7" t="str">
        <f t="shared" si="63"/>
        <v>039</v>
      </c>
      <c r="D1161" s="7" t="str">
        <f>"19"</f>
        <v>19</v>
      </c>
      <c r="E1161" s="8">
        <v>0</v>
      </c>
      <c r="F1161" s="7" t="s">
        <v>8</v>
      </c>
    </row>
    <row r="1162" s="2" customFormat="1" ht="14.1" customHeight="1" spans="1:6">
      <c r="A1162" s="7" t="str">
        <f>"2102403920"</f>
        <v>2102403920</v>
      </c>
      <c r="B1162" s="7" t="str">
        <f t="shared" si="64"/>
        <v>2021024</v>
      </c>
      <c r="C1162" s="7" t="str">
        <f t="shared" si="63"/>
        <v>039</v>
      </c>
      <c r="D1162" s="7" t="str">
        <f>"20"</f>
        <v>20</v>
      </c>
      <c r="E1162" s="8">
        <v>0</v>
      </c>
      <c r="F1162" s="7" t="s">
        <v>8</v>
      </c>
    </row>
    <row r="1163" s="2" customFormat="1" ht="14.1" customHeight="1" spans="1:6">
      <c r="A1163" s="7" t="str">
        <f>"2102403921"</f>
        <v>2102403921</v>
      </c>
      <c r="B1163" s="7" t="str">
        <f t="shared" si="64"/>
        <v>2021024</v>
      </c>
      <c r="C1163" s="7" t="str">
        <f t="shared" si="63"/>
        <v>039</v>
      </c>
      <c r="D1163" s="7" t="str">
        <f>"21"</f>
        <v>21</v>
      </c>
      <c r="E1163" s="8">
        <v>57.1</v>
      </c>
      <c r="F1163" s="7" t="s">
        <v>7</v>
      </c>
    </row>
    <row r="1164" s="2" customFormat="1" ht="14.1" customHeight="1" spans="1:6">
      <c r="A1164" s="7" t="str">
        <f>"2102403922"</f>
        <v>2102403922</v>
      </c>
      <c r="B1164" s="7" t="str">
        <f t="shared" si="64"/>
        <v>2021024</v>
      </c>
      <c r="C1164" s="7" t="str">
        <f t="shared" si="63"/>
        <v>039</v>
      </c>
      <c r="D1164" s="7" t="str">
        <f>"22"</f>
        <v>22</v>
      </c>
      <c r="E1164" s="8">
        <v>0</v>
      </c>
      <c r="F1164" s="7" t="s">
        <v>8</v>
      </c>
    </row>
    <row r="1165" s="2" customFormat="1" ht="14.1" customHeight="1" spans="1:6">
      <c r="A1165" s="7" t="str">
        <f>"2102403923"</f>
        <v>2102403923</v>
      </c>
      <c r="B1165" s="7" t="str">
        <f t="shared" si="64"/>
        <v>2021024</v>
      </c>
      <c r="C1165" s="7" t="str">
        <f t="shared" si="63"/>
        <v>039</v>
      </c>
      <c r="D1165" s="7" t="str">
        <f>"23"</f>
        <v>23</v>
      </c>
      <c r="E1165" s="8">
        <v>60.2</v>
      </c>
      <c r="F1165" s="7" t="s">
        <v>7</v>
      </c>
    </row>
    <row r="1166" s="2" customFormat="1" ht="14.1" customHeight="1" spans="1:6">
      <c r="A1166" s="7" t="str">
        <f>"2102403924"</f>
        <v>2102403924</v>
      </c>
      <c r="B1166" s="7" t="str">
        <f t="shared" si="64"/>
        <v>2021024</v>
      </c>
      <c r="C1166" s="7" t="str">
        <f t="shared" si="63"/>
        <v>039</v>
      </c>
      <c r="D1166" s="7" t="str">
        <f>"24"</f>
        <v>24</v>
      </c>
      <c r="E1166" s="8">
        <v>0</v>
      </c>
      <c r="F1166" s="7" t="s">
        <v>8</v>
      </c>
    </row>
    <row r="1167" s="2" customFormat="1" ht="14.1" customHeight="1" spans="1:6">
      <c r="A1167" s="7" t="str">
        <f>"2102403925"</f>
        <v>2102403925</v>
      </c>
      <c r="B1167" s="7" t="str">
        <f t="shared" si="64"/>
        <v>2021024</v>
      </c>
      <c r="C1167" s="7" t="str">
        <f t="shared" si="63"/>
        <v>039</v>
      </c>
      <c r="D1167" s="7" t="str">
        <f>"25"</f>
        <v>25</v>
      </c>
      <c r="E1167" s="8">
        <v>0</v>
      </c>
      <c r="F1167" s="7" t="s">
        <v>8</v>
      </c>
    </row>
    <row r="1168" s="2" customFormat="1" ht="14.1" customHeight="1" spans="1:6">
      <c r="A1168" s="7" t="str">
        <f>"2102403926"</f>
        <v>2102403926</v>
      </c>
      <c r="B1168" s="7" t="str">
        <f t="shared" si="64"/>
        <v>2021024</v>
      </c>
      <c r="C1168" s="7" t="str">
        <f t="shared" si="63"/>
        <v>039</v>
      </c>
      <c r="D1168" s="7" t="str">
        <f>"26"</f>
        <v>26</v>
      </c>
      <c r="E1168" s="8">
        <v>56.1</v>
      </c>
      <c r="F1168" s="7" t="s">
        <v>7</v>
      </c>
    </row>
    <row r="1169" s="2" customFormat="1" ht="14.1" customHeight="1" spans="1:6">
      <c r="A1169" s="7" t="str">
        <f>"2102403927"</f>
        <v>2102403927</v>
      </c>
      <c r="B1169" s="7" t="str">
        <f t="shared" si="64"/>
        <v>2021024</v>
      </c>
      <c r="C1169" s="7" t="str">
        <f t="shared" si="63"/>
        <v>039</v>
      </c>
      <c r="D1169" s="7" t="str">
        <f>"27"</f>
        <v>27</v>
      </c>
      <c r="E1169" s="8">
        <v>58.2</v>
      </c>
      <c r="F1169" s="7" t="s">
        <v>7</v>
      </c>
    </row>
    <row r="1170" s="2" customFormat="1" ht="14.1" customHeight="1" spans="1:6">
      <c r="A1170" s="7" t="str">
        <f>"2102403928"</f>
        <v>2102403928</v>
      </c>
      <c r="B1170" s="7" t="str">
        <f t="shared" si="64"/>
        <v>2021024</v>
      </c>
      <c r="C1170" s="7" t="str">
        <f t="shared" si="63"/>
        <v>039</v>
      </c>
      <c r="D1170" s="7" t="str">
        <f>"28"</f>
        <v>28</v>
      </c>
      <c r="E1170" s="8">
        <v>0</v>
      </c>
      <c r="F1170" s="7" t="s">
        <v>8</v>
      </c>
    </row>
    <row r="1171" s="2" customFormat="1" ht="14.1" customHeight="1" spans="1:6">
      <c r="A1171" s="7" t="str">
        <f>"2102403929"</f>
        <v>2102403929</v>
      </c>
      <c r="B1171" s="7" t="str">
        <f t="shared" si="64"/>
        <v>2021024</v>
      </c>
      <c r="C1171" s="7" t="str">
        <f t="shared" si="63"/>
        <v>039</v>
      </c>
      <c r="D1171" s="7" t="str">
        <f>"29"</f>
        <v>29</v>
      </c>
      <c r="E1171" s="8">
        <v>0</v>
      </c>
      <c r="F1171" s="7" t="s">
        <v>8</v>
      </c>
    </row>
    <row r="1172" s="2" customFormat="1" ht="14.1" customHeight="1" spans="1:6">
      <c r="A1172" s="7" t="str">
        <f>"2102403930"</f>
        <v>2102403930</v>
      </c>
      <c r="B1172" s="7" t="str">
        <f t="shared" si="64"/>
        <v>2021024</v>
      </c>
      <c r="C1172" s="7" t="str">
        <f t="shared" si="63"/>
        <v>039</v>
      </c>
      <c r="D1172" s="7" t="str">
        <f>"30"</f>
        <v>30</v>
      </c>
      <c r="E1172" s="8">
        <v>56.5</v>
      </c>
      <c r="F1172" s="7" t="s">
        <v>7</v>
      </c>
    </row>
    <row r="1173" s="2" customFormat="1" ht="14.1" customHeight="1" spans="1:6">
      <c r="A1173" s="7" t="str">
        <f>"2102404001"</f>
        <v>2102404001</v>
      </c>
      <c r="B1173" s="7" t="str">
        <f t="shared" si="64"/>
        <v>2021024</v>
      </c>
      <c r="C1173" s="7" t="str">
        <f t="shared" ref="C1173:C1202" si="65">"040"</f>
        <v>040</v>
      </c>
      <c r="D1173" s="7" t="str">
        <f>"01"</f>
        <v>01</v>
      </c>
      <c r="E1173" s="8">
        <v>0</v>
      </c>
      <c r="F1173" s="7" t="s">
        <v>8</v>
      </c>
    </row>
    <row r="1174" s="2" customFormat="1" ht="14.1" customHeight="1" spans="1:6">
      <c r="A1174" s="7" t="str">
        <f>"2102404002"</f>
        <v>2102404002</v>
      </c>
      <c r="B1174" s="7" t="str">
        <f t="shared" si="64"/>
        <v>2021024</v>
      </c>
      <c r="C1174" s="7" t="str">
        <f t="shared" si="65"/>
        <v>040</v>
      </c>
      <c r="D1174" s="7" t="str">
        <f>"02"</f>
        <v>02</v>
      </c>
      <c r="E1174" s="8">
        <v>0</v>
      </c>
      <c r="F1174" s="7" t="s">
        <v>8</v>
      </c>
    </row>
    <row r="1175" s="2" customFormat="1" ht="14.1" customHeight="1" spans="1:6">
      <c r="A1175" s="7" t="str">
        <f>"2102404003"</f>
        <v>2102404003</v>
      </c>
      <c r="B1175" s="7" t="str">
        <f t="shared" si="64"/>
        <v>2021024</v>
      </c>
      <c r="C1175" s="7" t="str">
        <f t="shared" si="65"/>
        <v>040</v>
      </c>
      <c r="D1175" s="7" t="str">
        <f>"03"</f>
        <v>03</v>
      </c>
      <c r="E1175" s="8">
        <v>67.8</v>
      </c>
      <c r="F1175" s="7" t="s">
        <v>7</v>
      </c>
    </row>
    <row r="1176" s="2" customFormat="1" ht="14.1" customHeight="1" spans="1:6">
      <c r="A1176" s="7" t="str">
        <f>"2102404004"</f>
        <v>2102404004</v>
      </c>
      <c r="B1176" s="7" t="str">
        <f t="shared" si="64"/>
        <v>2021024</v>
      </c>
      <c r="C1176" s="7" t="str">
        <f t="shared" si="65"/>
        <v>040</v>
      </c>
      <c r="D1176" s="7" t="str">
        <f>"04"</f>
        <v>04</v>
      </c>
      <c r="E1176" s="8">
        <v>57</v>
      </c>
      <c r="F1176" s="7" t="s">
        <v>7</v>
      </c>
    </row>
    <row r="1177" s="2" customFormat="1" ht="14.1" customHeight="1" spans="1:6">
      <c r="A1177" s="7" t="str">
        <f>"2102504005"</f>
        <v>2102504005</v>
      </c>
      <c r="B1177" s="7" t="str">
        <f t="shared" ref="B1177:B1240" si="66">"2021025"</f>
        <v>2021025</v>
      </c>
      <c r="C1177" s="7" t="str">
        <f t="shared" si="65"/>
        <v>040</v>
      </c>
      <c r="D1177" s="7" t="str">
        <f>"05"</f>
        <v>05</v>
      </c>
      <c r="E1177" s="8">
        <v>0</v>
      </c>
      <c r="F1177" s="7" t="s">
        <v>8</v>
      </c>
    </row>
    <row r="1178" s="2" customFormat="1" ht="14.1" customHeight="1" spans="1:6">
      <c r="A1178" s="7" t="str">
        <f>"2102504006"</f>
        <v>2102504006</v>
      </c>
      <c r="B1178" s="7" t="str">
        <f t="shared" si="66"/>
        <v>2021025</v>
      </c>
      <c r="C1178" s="7" t="str">
        <f t="shared" si="65"/>
        <v>040</v>
      </c>
      <c r="D1178" s="7" t="str">
        <f>"06"</f>
        <v>06</v>
      </c>
      <c r="E1178" s="8">
        <v>0</v>
      </c>
      <c r="F1178" s="7" t="s">
        <v>8</v>
      </c>
    </row>
    <row r="1179" s="2" customFormat="1" ht="14.1" customHeight="1" spans="1:6">
      <c r="A1179" s="7" t="str">
        <f>"2102504007"</f>
        <v>2102504007</v>
      </c>
      <c r="B1179" s="7" t="str">
        <f t="shared" si="66"/>
        <v>2021025</v>
      </c>
      <c r="C1179" s="7" t="str">
        <f t="shared" si="65"/>
        <v>040</v>
      </c>
      <c r="D1179" s="7" t="str">
        <f>"07"</f>
        <v>07</v>
      </c>
      <c r="E1179" s="8">
        <v>0</v>
      </c>
      <c r="F1179" s="7" t="s">
        <v>8</v>
      </c>
    </row>
    <row r="1180" s="2" customFormat="1" ht="14.1" customHeight="1" spans="1:6">
      <c r="A1180" s="7" t="str">
        <f>"2102504008"</f>
        <v>2102504008</v>
      </c>
      <c r="B1180" s="7" t="str">
        <f t="shared" si="66"/>
        <v>2021025</v>
      </c>
      <c r="C1180" s="7" t="str">
        <f t="shared" si="65"/>
        <v>040</v>
      </c>
      <c r="D1180" s="7" t="str">
        <f>"08"</f>
        <v>08</v>
      </c>
      <c r="E1180" s="8">
        <v>72.3</v>
      </c>
      <c r="F1180" s="7" t="s">
        <v>7</v>
      </c>
    </row>
    <row r="1181" s="2" customFormat="1" ht="14.1" customHeight="1" spans="1:6">
      <c r="A1181" s="7" t="str">
        <f>"2102504009"</f>
        <v>2102504009</v>
      </c>
      <c r="B1181" s="7" t="str">
        <f t="shared" si="66"/>
        <v>2021025</v>
      </c>
      <c r="C1181" s="7" t="str">
        <f t="shared" si="65"/>
        <v>040</v>
      </c>
      <c r="D1181" s="7" t="str">
        <f>"09"</f>
        <v>09</v>
      </c>
      <c r="E1181" s="8">
        <v>53</v>
      </c>
      <c r="F1181" s="7" t="s">
        <v>7</v>
      </c>
    </row>
    <row r="1182" s="2" customFormat="1" ht="14.1" customHeight="1" spans="1:6">
      <c r="A1182" s="7" t="str">
        <f>"2102504010"</f>
        <v>2102504010</v>
      </c>
      <c r="B1182" s="7" t="str">
        <f t="shared" si="66"/>
        <v>2021025</v>
      </c>
      <c r="C1182" s="7" t="str">
        <f t="shared" si="65"/>
        <v>040</v>
      </c>
      <c r="D1182" s="7" t="str">
        <f>"10"</f>
        <v>10</v>
      </c>
      <c r="E1182" s="8">
        <v>54.7</v>
      </c>
      <c r="F1182" s="7" t="s">
        <v>7</v>
      </c>
    </row>
    <row r="1183" s="2" customFormat="1" ht="14.1" customHeight="1" spans="1:6">
      <c r="A1183" s="7" t="str">
        <f>"2102504011"</f>
        <v>2102504011</v>
      </c>
      <c r="B1183" s="7" t="str">
        <f t="shared" si="66"/>
        <v>2021025</v>
      </c>
      <c r="C1183" s="7" t="str">
        <f t="shared" si="65"/>
        <v>040</v>
      </c>
      <c r="D1183" s="7" t="str">
        <f>"11"</f>
        <v>11</v>
      </c>
      <c r="E1183" s="8">
        <v>0</v>
      </c>
      <c r="F1183" s="7" t="s">
        <v>8</v>
      </c>
    </row>
    <row r="1184" s="2" customFormat="1" ht="14.1" customHeight="1" spans="1:6">
      <c r="A1184" s="7" t="str">
        <f>"2102504012"</f>
        <v>2102504012</v>
      </c>
      <c r="B1184" s="7" t="str">
        <f t="shared" si="66"/>
        <v>2021025</v>
      </c>
      <c r="C1184" s="7" t="str">
        <f t="shared" si="65"/>
        <v>040</v>
      </c>
      <c r="D1184" s="7" t="str">
        <f>"12"</f>
        <v>12</v>
      </c>
      <c r="E1184" s="8">
        <v>64.6</v>
      </c>
      <c r="F1184" s="7" t="s">
        <v>7</v>
      </c>
    </row>
    <row r="1185" s="2" customFormat="1" ht="14.1" customHeight="1" spans="1:6">
      <c r="A1185" s="7" t="str">
        <f>"2102504013"</f>
        <v>2102504013</v>
      </c>
      <c r="B1185" s="7" t="str">
        <f t="shared" si="66"/>
        <v>2021025</v>
      </c>
      <c r="C1185" s="7" t="str">
        <f t="shared" si="65"/>
        <v>040</v>
      </c>
      <c r="D1185" s="7" t="str">
        <f>"13"</f>
        <v>13</v>
      </c>
      <c r="E1185" s="8">
        <v>0</v>
      </c>
      <c r="F1185" s="7" t="s">
        <v>8</v>
      </c>
    </row>
    <row r="1186" s="2" customFormat="1" ht="14.1" customHeight="1" spans="1:6">
      <c r="A1186" s="7" t="str">
        <f>"2102504014"</f>
        <v>2102504014</v>
      </c>
      <c r="B1186" s="7" t="str">
        <f t="shared" si="66"/>
        <v>2021025</v>
      </c>
      <c r="C1186" s="7" t="str">
        <f t="shared" si="65"/>
        <v>040</v>
      </c>
      <c r="D1186" s="7" t="str">
        <f>"14"</f>
        <v>14</v>
      </c>
      <c r="E1186" s="8">
        <v>0</v>
      </c>
      <c r="F1186" s="7" t="s">
        <v>8</v>
      </c>
    </row>
    <row r="1187" s="2" customFormat="1" ht="14.1" customHeight="1" spans="1:6">
      <c r="A1187" s="7" t="str">
        <f>"2102504015"</f>
        <v>2102504015</v>
      </c>
      <c r="B1187" s="7" t="str">
        <f t="shared" si="66"/>
        <v>2021025</v>
      </c>
      <c r="C1187" s="7" t="str">
        <f t="shared" si="65"/>
        <v>040</v>
      </c>
      <c r="D1187" s="7" t="str">
        <f>"15"</f>
        <v>15</v>
      </c>
      <c r="E1187" s="8">
        <v>57</v>
      </c>
      <c r="F1187" s="7" t="s">
        <v>7</v>
      </c>
    </row>
    <row r="1188" s="2" customFormat="1" ht="14.1" customHeight="1" spans="1:6">
      <c r="A1188" s="7" t="str">
        <f>"2102504016"</f>
        <v>2102504016</v>
      </c>
      <c r="B1188" s="7" t="str">
        <f t="shared" si="66"/>
        <v>2021025</v>
      </c>
      <c r="C1188" s="7" t="str">
        <f t="shared" si="65"/>
        <v>040</v>
      </c>
      <c r="D1188" s="7" t="str">
        <f>"16"</f>
        <v>16</v>
      </c>
      <c r="E1188" s="8">
        <v>0</v>
      </c>
      <c r="F1188" s="7" t="s">
        <v>8</v>
      </c>
    </row>
    <row r="1189" s="2" customFormat="1" ht="14.1" customHeight="1" spans="1:6">
      <c r="A1189" s="7" t="str">
        <f>"2102504017"</f>
        <v>2102504017</v>
      </c>
      <c r="B1189" s="7" t="str">
        <f t="shared" si="66"/>
        <v>2021025</v>
      </c>
      <c r="C1189" s="7" t="str">
        <f t="shared" si="65"/>
        <v>040</v>
      </c>
      <c r="D1189" s="7" t="str">
        <f>"17"</f>
        <v>17</v>
      </c>
      <c r="E1189" s="8">
        <v>0</v>
      </c>
      <c r="F1189" s="7" t="s">
        <v>8</v>
      </c>
    </row>
    <row r="1190" s="2" customFormat="1" ht="14.1" customHeight="1" spans="1:6">
      <c r="A1190" s="7" t="str">
        <f>"2102504018"</f>
        <v>2102504018</v>
      </c>
      <c r="B1190" s="7" t="str">
        <f t="shared" si="66"/>
        <v>2021025</v>
      </c>
      <c r="C1190" s="7" t="str">
        <f t="shared" si="65"/>
        <v>040</v>
      </c>
      <c r="D1190" s="7" t="str">
        <f>"18"</f>
        <v>18</v>
      </c>
      <c r="E1190" s="8">
        <v>58.2</v>
      </c>
      <c r="F1190" s="7" t="s">
        <v>7</v>
      </c>
    </row>
    <row r="1191" s="2" customFormat="1" ht="14.1" customHeight="1" spans="1:6">
      <c r="A1191" s="7" t="str">
        <f>"2102504019"</f>
        <v>2102504019</v>
      </c>
      <c r="B1191" s="7" t="str">
        <f t="shared" si="66"/>
        <v>2021025</v>
      </c>
      <c r="C1191" s="7" t="str">
        <f t="shared" si="65"/>
        <v>040</v>
      </c>
      <c r="D1191" s="7" t="str">
        <f>"19"</f>
        <v>19</v>
      </c>
      <c r="E1191" s="8">
        <v>0</v>
      </c>
      <c r="F1191" s="7" t="s">
        <v>8</v>
      </c>
    </row>
    <row r="1192" s="2" customFormat="1" ht="14.1" customHeight="1" spans="1:6">
      <c r="A1192" s="7" t="str">
        <f>"2102504020"</f>
        <v>2102504020</v>
      </c>
      <c r="B1192" s="7" t="str">
        <f t="shared" si="66"/>
        <v>2021025</v>
      </c>
      <c r="C1192" s="7" t="str">
        <f t="shared" si="65"/>
        <v>040</v>
      </c>
      <c r="D1192" s="7" t="str">
        <f>"20"</f>
        <v>20</v>
      </c>
      <c r="E1192" s="8">
        <v>0</v>
      </c>
      <c r="F1192" s="7" t="s">
        <v>8</v>
      </c>
    </row>
    <row r="1193" s="2" customFormat="1" ht="14.1" customHeight="1" spans="1:6">
      <c r="A1193" s="7" t="str">
        <f>"2102504021"</f>
        <v>2102504021</v>
      </c>
      <c r="B1193" s="7" t="str">
        <f t="shared" si="66"/>
        <v>2021025</v>
      </c>
      <c r="C1193" s="7" t="str">
        <f t="shared" si="65"/>
        <v>040</v>
      </c>
      <c r="D1193" s="7" t="str">
        <f>"21"</f>
        <v>21</v>
      </c>
      <c r="E1193" s="8">
        <v>0</v>
      </c>
      <c r="F1193" s="7" t="s">
        <v>8</v>
      </c>
    </row>
    <row r="1194" s="2" customFormat="1" ht="14.1" customHeight="1" spans="1:6">
      <c r="A1194" s="7" t="str">
        <f>"2102504022"</f>
        <v>2102504022</v>
      </c>
      <c r="B1194" s="7" t="str">
        <f t="shared" si="66"/>
        <v>2021025</v>
      </c>
      <c r="C1194" s="7" t="str">
        <f t="shared" si="65"/>
        <v>040</v>
      </c>
      <c r="D1194" s="7" t="str">
        <f>"22"</f>
        <v>22</v>
      </c>
      <c r="E1194" s="8">
        <v>0</v>
      </c>
      <c r="F1194" s="7" t="s">
        <v>8</v>
      </c>
    </row>
    <row r="1195" s="2" customFormat="1" ht="14.1" customHeight="1" spans="1:6">
      <c r="A1195" s="7" t="str">
        <f>"2102504023"</f>
        <v>2102504023</v>
      </c>
      <c r="B1195" s="7" t="str">
        <f t="shared" si="66"/>
        <v>2021025</v>
      </c>
      <c r="C1195" s="7" t="str">
        <f t="shared" si="65"/>
        <v>040</v>
      </c>
      <c r="D1195" s="7" t="str">
        <f>"23"</f>
        <v>23</v>
      </c>
      <c r="E1195" s="8">
        <v>63.4</v>
      </c>
      <c r="F1195" s="7" t="s">
        <v>7</v>
      </c>
    </row>
    <row r="1196" s="2" customFormat="1" ht="14.1" customHeight="1" spans="1:6">
      <c r="A1196" s="7" t="str">
        <f>"2102504024"</f>
        <v>2102504024</v>
      </c>
      <c r="B1196" s="7" t="str">
        <f t="shared" si="66"/>
        <v>2021025</v>
      </c>
      <c r="C1196" s="7" t="str">
        <f t="shared" si="65"/>
        <v>040</v>
      </c>
      <c r="D1196" s="7" t="str">
        <f>"24"</f>
        <v>24</v>
      </c>
      <c r="E1196" s="8">
        <v>0</v>
      </c>
      <c r="F1196" s="7" t="s">
        <v>8</v>
      </c>
    </row>
    <row r="1197" s="2" customFormat="1" ht="14.1" customHeight="1" spans="1:6">
      <c r="A1197" s="7" t="str">
        <f>"2102504025"</f>
        <v>2102504025</v>
      </c>
      <c r="B1197" s="7" t="str">
        <f t="shared" si="66"/>
        <v>2021025</v>
      </c>
      <c r="C1197" s="7" t="str">
        <f t="shared" si="65"/>
        <v>040</v>
      </c>
      <c r="D1197" s="7" t="str">
        <f>"25"</f>
        <v>25</v>
      </c>
      <c r="E1197" s="8">
        <v>60.4</v>
      </c>
      <c r="F1197" s="7" t="s">
        <v>7</v>
      </c>
    </row>
    <row r="1198" s="2" customFormat="1" ht="14.1" customHeight="1" spans="1:6">
      <c r="A1198" s="7" t="str">
        <f>"2102504026"</f>
        <v>2102504026</v>
      </c>
      <c r="B1198" s="7" t="str">
        <f t="shared" si="66"/>
        <v>2021025</v>
      </c>
      <c r="C1198" s="7" t="str">
        <f t="shared" si="65"/>
        <v>040</v>
      </c>
      <c r="D1198" s="7" t="str">
        <f>"26"</f>
        <v>26</v>
      </c>
      <c r="E1198" s="8">
        <v>66.6</v>
      </c>
      <c r="F1198" s="7" t="s">
        <v>7</v>
      </c>
    </row>
    <row r="1199" s="2" customFormat="1" ht="14.1" customHeight="1" spans="1:6">
      <c r="A1199" s="7" t="str">
        <f>"2102504027"</f>
        <v>2102504027</v>
      </c>
      <c r="B1199" s="7" t="str">
        <f t="shared" si="66"/>
        <v>2021025</v>
      </c>
      <c r="C1199" s="7" t="str">
        <f t="shared" si="65"/>
        <v>040</v>
      </c>
      <c r="D1199" s="7" t="str">
        <f>"27"</f>
        <v>27</v>
      </c>
      <c r="E1199" s="8">
        <v>0</v>
      </c>
      <c r="F1199" s="7" t="s">
        <v>8</v>
      </c>
    </row>
    <row r="1200" s="2" customFormat="1" ht="14.1" customHeight="1" spans="1:6">
      <c r="A1200" s="7" t="str">
        <f>"2102504028"</f>
        <v>2102504028</v>
      </c>
      <c r="B1200" s="7" t="str">
        <f t="shared" si="66"/>
        <v>2021025</v>
      </c>
      <c r="C1200" s="7" t="str">
        <f t="shared" si="65"/>
        <v>040</v>
      </c>
      <c r="D1200" s="7" t="str">
        <f>"28"</f>
        <v>28</v>
      </c>
      <c r="E1200" s="8">
        <v>0</v>
      </c>
      <c r="F1200" s="7" t="s">
        <v>8</v>
      </c>
    </row>
    <row r="1201" s="2" customFormat="1" ht="14.1" customHeight="1" spans="1:6">
      <c r="A1201" s="7" t="str">
        <f>"2102504029"</f>
        <v>2102504029</v>
      </c>
      <c r="B1201" s="7" t="str">
        <f t="shared" si="66"/>
        <v>2021025</v>
      </c>
      <c r="C1201" s="7" t="str">
        <f t="shared" si="65"/>
        <v>040</v>
      </c>
      <c r="D1201" s="7" t="str">
        <f>"29"</f>
        <v>29</v>
      </c>
      <c r="E1201" s="8">
        <v>0</v>
      </c>
      <c r="F1201" s="7" t="s">
        <v>8</v>
      </c>
    </row>
    <row r="1202" s="2" customFormat="1" ht="14.1" customHeight="1" spans="1:6">
      <c r="A1202" s="7" t="str">
        <f>"2102504030"</f>
        <v>2102504030</v>
      </c>
      <c r="B1202" s="7" t="str">
        <f t="shared" si="66"/>
        <v>2021025</v>
      </c>
      <c r="C1202" s="7" t="str">
        <f t="shared" si="65"/>
        <v>040</v>
      </c>
      <c r="D1202" s="7" t="str">
        <f>"30"</f>
        <v>30</v>
      </c>
      <c r="E1202" s="8">
        <v>0</v>
      </c>
      <c r="F1202" s="7" t="s">
        <v>8</v>
      </c>
    </row>
    <row r="1203" s="2" customFormat="1" ht="14.1" customHeight="1" spans="1:6">
      <c r="A1203" s="7" t="str">
        <f>"2102504101"</f>
        <v>2102504101</v>
      </c>
      <c r="B1203" s="7" t="str">
        <f t="shared" si="66"/>
        <v>2021025</v>
      </c>
      <c r="C1203" s="7" t="str">
        <f t="shared" ref="C1203:C1232" si="67">"041"</f>
        <v>041</v>
      </c>
      <c r="D1203" s="7" t="str">
        <f>"01"</f>
        <v>01</v>
      </c>
      <c r="E1203" s="8">
        <v>50.3</v>
      </c>
      <c r="F1203" s="7" t="s">
        <v>7</v>
      </c>
    </row>
    <row r="1204" s="2" customFormat="1" ht="14.1" customHeight="1" spans="1:6">
      <c r="A1204" s="7" t="str">
        <f>"2102504102"</f>
        <v>2102504102</v>
      </c>
      <c r="B1204" s="7" t="str">
        <f t="shared" si="66"/>
        <v>2021025</v>
      </c>
      <c r="C1204" s="7" t="str">
        <f t="shared" si="67"/>
        <v>041</v>
      </c>
      <c r="D1204" s="7" t="str">
        <f>"02"</f>
        <v>02</v>
      </c>
      <c r="E1204" s="8">
        <v>56.5</v>
      </c>
      <c r="F1204" s="7" t="s">
        <v>7</v>
      </c>
    </row>
    <row r="1205" s="2" customFormat="1" ht="14.1" customHeight="1" spans="1:6">
      <c r="A1205" s="7" t="str">
        <f>"2102504103"</f>
        <v>2102504103</v>
      </c>
      <c r="B1205" s="7" t="str">
        <f t="shared" si="66"/>
        <v>2021025</v>
      </c>
      <c r="C1205" s="7" t="str">
        <f t="shared" si="67"/>
        <v>041</v>
      </c>
      <c r="D1205" s="7" t="str">
        <f>"03"</f>
        <v>03</v>
      </c>
      <c r="E1205" s="8">
        <v>0</v>
      </c>
      <c r="F1205" s="7" t="s">
        <v>8</v>
      </c>
    </row>
    <row r="1206" s="2" customFormat="1" ht="14.1" customHeight="1" spans="1:6">
      <c r="A1206" s="7" t="str">
        <f>"2102504104"</f>
        <v>2102504104</v>
      </c>
      <c r="B1206" s="7" t="str">
        <f t="shared" si="66"/>
        <v>2021025</v>
      </c>
      <c r="C1206" s="7" t="str">
        <f t="shared" si="67"/>
        <v>041</v>
      </c>
      <c r="D1206" s="7" t="str">
        <f>"04"</f>
        <v>04</v>
      </c>
      <c r="E1206" s="8">
        <v>0</v>
      </c>
      <c r="F1206" s="7" t="s">
        <v>8</v>
      </c>
    </row>
    <row r="1207" s="2" customFormat="1" ht="14.1" customHeight="1" spans="1:6">
      <c r="A1207" s="7" t="str">
        <f>"2102504105"</f>
        <v>2102504105</v>
      </c>
      <c r="B1207" s="7" t="str">
        <f t="shared" si="66"/>
        <v>2021025</v>
      </c>
      <c r="C1207" s="7" t="str">
        <f t="shared" si="67"/>
        <v>041</v>
      </c>
      <c r="D1207" s="7" t="str">
        <f>"05"</f>
        <v>05</v>
      </c>
      <c r="E1207" s="8">
        <v>0</v>
      </c>
      <c r="F1207" s="7" t="s">
        <v>8</v>
      </c>
    </row>
    <row r="1208" s="2" customFormat="1" ht="14.1" customHeight="1" spans="1:6">
      <c r="A1208" s="7" t="str">
        <f>"2102504106"</f>
        <v>2102504106</v>
      </c>
      <c r="B1208" s="7" t="str">
        <f t="shared" si="66"/>
        <v>2021025</v>
      </c>
      <c r="C1208" s="7" t="str">
        <f t="shared" si="67"/>
        <v>041</v>
      </c>
      <c r="D1208" s="7" t="str">
        <f>"06"</f>
        <v>06</v>
      </c>
      <c r="E1208" s="8">
        <v>0</v>
      </c>
      <c r="F1208" s="7" t="s">
        <v>8</v>
      </c>
    </row>
    <row r="1209" s="2" customFormat="1" ht="14.1" customHeight="1" spans="1:6">
      <c r="A1209" s="7" t="str">
        <f>"2102504107"</f>
        <v>2102504107</v>
      </c>
      <c r="B1209" s="7" t="str">
        <f t="shared" si="66"/>
        <v>2021025</v>
      </c>
      <c r="C1209" s="7" t="str">
        <f t="shared" si="67"/>
        <v>041</v>
      </c>
      <c r="D1209" s="7" t="str">
        <f>"07"</f>
        <v>07</v>
      </c>
      <c r="E1209" s="8">
        <v>62.4</v>
      </c>
      <c r="F1209" s="7" t="s">
        <v>7</v>
      </c>
    </row>
    <row r="1210" s="2" customFormat="1" ht="14.1" customHeight="1" spans="1:6">
      <c r="A1210" s="7" t="str">
        <f>"2102504108"</f>
        <v>2102504108</v>
      </c>
      <c r="B1210" s="7" t="str">
        <f t="shared" si="66"/>
        <v>2021025</v>
      </c>
      <c r="C1210" s="7" t="str">
        <f t="shared" si="67"/>
        <v>041</v>
      </c>
      <c r="D1210" s="7" t="str">
        <f>"08"</f>
        <v>08</v>
      </c>
      <c r="E1210" s="8">
        <v>0</v>
      </c>
      <c r="F1210" s="7" t="s">
        <v>8</v>
      </c>
    </row>
    <row r="1211" s="2" customFormat="1" ht="14.1" customHeight="1" spans="1:6">
      <c r="A1211" s="7" t="str">
        <f>"2102504109"</f>
        <v>2102504109</v>
      </c>
      <c r="B1211" s="7" t="str">
        <f t="shared" si="66"/>
        <v>2021025</v>
      </c>
      <c r="C1211" s="7" t="str">
        <f t="shared" si="67"/>
        <v>041</v>
      </c>
      <c r="D1211" s="7" t="str">
        <f>"09"</f>
        <v>09</v>
      </c>
      <c r="E1211" s="8">
        <v>61.5</v>
      </c>
      <c r="F1211" s="7" t="s">
        <v>7</v>
      </c>
    </row>
    <row r="1212" s="2" customFormat="1" ht="14.1" customHeight="1" spans="1:6">
      <c r="A1212" s="7" t="str">
        <f>"2102504110"</f>
        <v>2102504110</v>
      </c>
      <c r="B1212" s="7" t="str">
        <f t="shared" si="66"/>
        <v>2021025</v>
      </c>
      <c r="C1212" s="7" t="str">
        <f t="shared" si="67"/>
        <v>041</v>
      </c>
      <c r="D1212" s="7" t="str">
        <f>"10"</f>
        <v>10</v>
      </c>
      <c r="E1212" s="8">
        <v>66.8</v>
      </c>
      <c r="F1212" s="7" t="s">
        <v>7</v>
      </c>
    </row>
    <row r="1213" s="2" customFormat="1" ht="14.1" customHeight="1" spans="1:6">
      <c r="A1213" s="7" t="str">
        <f>"2102504111"</f>
        <v>2102504111</v>
      </c>
      <c r="B1213" s="7" t="str">
        <f t="shared" si="66"/>
        <v>2021025</v>
      </c>
      <c r="C1213" s="7" t="str">
        <f t="shared" si="67"/>
        <v>041</v>
      </c>
      <c r="D1213" s="7" t="str">
        <f>"11"</f>
        <v>11</v>
      </c>
      <c r="E1213" s="8">
        <v>57.1</v>
      </c>
      <c r="F1213" s="7" t="s">
        <v>7</v>
      </c>
    </row>
    <row r="1214" s="2" customFormat="1" ht="14.1" customHeight="1" spans="1:6">
      <c r="A1214" s="7" t="str">
        <f>"2102504112"</f>
        <v>2102504112</v>
      </c>
      <c r="B1214" s="7" t="str">
        <f t="shared" si="66"/>
        <v>2021025</v>
      </c>
      <c r="C1214" s="7" t="str">
        <f t="shared" si="67"/>
        <v>041</v>
      </c>
      <c r="D1214" s="7" t="str">
        <f>"12"</f>
        <v>12</v>
      </c>
      <c r="E1214" s="8">
        <v>64.2</v>
      </c>
      <c r="F1214" s="7" t="s">
        <v>7</v>
      </c>
    </row>
    <row r="1215" s="2" customFormat="1" ht="14.1" customHeight="1" spans="1:6">
      <c r="A1215" s="7" t="str">
        <f>"2102504113"</f>
        <v>2102504113</v>
      </c>
      <c r="B1215" s="7" t="str">
        <f t="shared" si="66"/>
        <v>2021025</v>
      </c>
      <c r="C1215" s="7" t="str">
        <f t="shared" si="67"/>
        <v>041</v>
      </c>
      <c r="D1215" s="7" t="str">
        <f>"13"</f>
        <v>13</v>
      </c>
      <c r="E1215" s="8">
        <v>64.2</v>
      </c>
      <c r="F1215" s="7" t="s">
        <v>7</v>
      </c>
    </row>
    <row r="1216" s="2" customFormat="1" ht="14.1" customHeight="1" spans="1:6">
      <c r="A1216" s="7" t="str">
        <f>"2102504114"</f>
        <v>2102504114</v>
      </c>
      <c r="B1216" s="7" t="str">
        <f t="shared" si="66"/>
        <v>2021025</v>
      </c>
      <c r="C1216" s="7" t="str">
        <f t="shared" si="67"/>
        <v>041</v>
      </c>
      <c r="D1216" s="7" t="str">
        <f>"14"</f>
        <v>14</v>
      </c>
      <c r="E1216" s="8">
        <v>71.9</v>
      </c>
      <c r="F1216" s="7" t="s">
        <v>7</v>
      </c>
    </row>
    <row r="1217" s="2" customFormat="1" ht="14.1" customHeight="1" spans="1:6">
      <c r="A1217" s="7" t="str">
        <f>"2102504115"</f>
        <v>2102504115</v>
      </c>
      <c r="B1217" s="7" t="str">
        <f t="shared" si="66"/>
        <v>2021025</v>
      </c>
      <c r="C1217" s="7" t="str">
        <f t="shared" si="67"/>
        <v>041</v>
      </c>
      <c r="D1217" s="7" t="str">
        <f>"15"</f>
        <v>15</v>
      </c>
      <c r="E1217" s="8">
        <v>63.4</v>
      </c>
      <c r="F1217" s="7" t="s">
        <v>7</v>
      </c>
    </row>
    <row r="1218" s="2" customFormat="1" ht="14.1" customHeight="1" spans="1:6">
      <c r="A1218" s="7" t="str">
        <f>"2102504116"</f>
        <v>2102504116</v>
      </c>
      <c r="B1218" s="7" t="str">
        <f t="shared" si="66"/>
        <v>2021025</v>
      </c>
      <c r="C1218" s="7" t="str">
        <f t="shared" si="67"/>
        <v>041</v>
      </c>
      <c r="D1218" s="7" t="str">
        <f>"16"</f>
        <v>16</v>
      </c>
      <c r="E1218" s="8">
        <v>0</v>
      </c>
      <c r="F1218" s="7" t="s">
        <v>8</v>
      </c>
    </row>
    <row r="1219" s="2" customFormat="1" ht="14.1" customHeight="1" spans="1:6">
      <c r="A1219" s="7" t="str">
        <f>"2102504117"</f>
        <v>2102504117</v>
      </c>
      <c r="B1219" s="7" t="str">
        <f t="shared" si="66"/>
        <v>2021025</v>
      </c>
      <c r="C1219" s="7" t="str">
        <f t="shared" si="67"/>
        <v>041</v>
      </c>
      <c r="D1219" s="7" t="str">
        <f>"17"</f>
        <v>17</v>
      </c>
      <c r="E1219" s="8">
        <v>65.9</v>
      </c>
      <c r="F1219" s="7" t="s">
        <v>7</v>
      </c>
    </row>
    <row r="1220" s="2" customFormat="1" ht="14.1" customHeight="1" spans="1:6">
      <c r="A1220" s="7" t="str">
        <f>"2102504118"</f>
        <v>2102504118</v>
      </c>
      <c r="B1220" s="7" t="str">
        <f t="shared" si="66"/>
        <v>2021025</v>
      </c>
      <c r="C1220" s="7" t="str">
        <f t="shared" si="67"/>
        <v>041</v>
      </c>
      <c r="D1220" s="7" t="str">
        <f>"18"</f>
        <v>18</v>
      </c>
      <c r="E1220" s="8">
        <v>0</v>
      </c>
      <c r="F1220" s="7" t="s">
        <v>8</v>
      </c>
    </row>
    <row r="1221" s="2" customFormat="1" ht="14.1" customHeight="1" spans="1:6">
      <c r="A1221" s="7" t="str">
        <f>"2102504119"</f>
        <v>2102504119</v>
      </c>
      <c r="B1221" s="7" t="str">
        <f t="shared" si="66"/>
        <v>2021025</v>
      </c>
      <c r="C1221" s="7" t="str">
        <f t="shared" si="67"/>
        <v>041</v>
      </c>
      <c r="D1221" s="7" t="str">
        <f>"19"</f>
        <v>19</v>
      </c>
      <c r="E1221" s="8">
        <v>0</v>
      </c>
      <c r="F1221" s="7" t="s">
        <v>8</v>
      </c>
    </row>
    <row r="1222" s="2" customFormat="1" ht="14.1" customHeight="1" spans="1:6">
      <c r="A1222" s="7" t="str">
        <f>"2102504120"</f>
        <v>2102504120</v>
      </c>
      <c r="B1222" s="7" t="str">
        <f t="shared" si="66"/>
        <v>2021025</v>
      </c>
      <c r="C1222" s="7" t="str">
        <f t="shared" si="67"/>
        <v>041</v>
      </c>
      <c r="D1222" s="7" t="str">
        <f>"20"</f>
        <v>20</v>
      </c>
      <c r="E1222" s="8">
        <v>0</v>
      </c>
      <c r="F1222" s="7" t="s">
        <v>8</v>
      </c>
    </row>
    <row r="1223" s="2" customFormat="1" ht="14.1" customHeight="1" spans="1:6">
      <c r="A1223" s="7" t="str">
        <f>"2102504121"</f>
        <v>2102504121</v>
      </c>
      <c r="B1223" s="7" t="str">
        <f t="shared" si="66"/>
        <v>2021025</v>
      </c>
      <c r="C1223" s="7" t="str">
        <f t="shared" si="67"/>
        <v>041</v>
      </c>
      <c r="D1223" s="7" t="str">
        <f>"21"</f>
        <v>21</v>
      </c>
      <c r="E1223" s="8">
        <v>0</v>
      </c>
      <c r="F1223" s="7" t="s">
        <v>8</v>
      </c>
    </row>
    <row r="1224" s="2" customFormat="1" ht="14.1" customHeight="1" spans="1:6">
      <c r="A1224" s="7" t="str">
        <f>"2102504122"</f>
        <v>2102504122</v>
      </c>
      <c r="B1224" s="7" t="str">
        <f t="shared" si="66"/>
        <v>2021025</v>
      </c>
      <c r="C1224" s="7" t="str">
        <f t="shared" si="67"/>
        <v>041</v>
      </c>
      <c r="D1224" s="7" t="str">
        <f>"22"</f>
        <v>22</v>
      </c>
      <c r="E1224" s="8">
        <v>55.8</v>
      </c>
      <c r="F1224" s="7" t="s">
        <v>7</v>
      </c>
    </row>
    <row r="1225" s="2" customFormat="1" ht="14.1" customHeight="1" spans="1:6">
      <c r="A1225" s="7" t="str">
        <f>"2102504123"</f>
        <v>2102504123</v>
      </c>
      <c r="B1225" s="7" t="str">
        <f t="shared" si="66"/>
        <v>2021025</v>
      </c>
      <c r="C1225" s="7" t="str">
        <f t="shared" si="67"/>
        <v>041</v>
      </c>
      <c r="D1225" s="7" t="str">
        <f>"23"</f>
        <v>23</v>
      </c>
      <c r="E1225" s="8">
        <v>0</v>
      </c>
      <c r="F1225" s="7" t="s">
        <v>8</v>
      </c>
    </row>
    <row r="1226" s="2" customFormat="1" ht="14.1" customHeight="1" spans="1:6">
      <c r="A1226" s="7" t="str">
        <f>"2102504124"</f>
        <v>2102504124</v>
      </c>
      <c r="B1226" s="7" t="str">
        <f t="shared" si="66"/>
        <v>2021025</v>
      </c>
      <c r="C1226" s="7" t="str">
        <f t="shared" si="67"/>
        <v>041</v>
      </c>
      <c r="D1226" s="7" t="str">
        <f>"24"</f>
        <v>24</v>
      </c>
      <c r="E1226" s="8">
        <v>0</v>
      </c>
      <c r="F1226" s="7" t="s">
        <v>8</v>
      </c>
    </row>
    <row r="1227" s="2" customFormat="1" ht="14.1" customHeight="1" spans="1:6">
      <c r="A1227" s="7" t="str">
        <f>"2102504125"</f>
        <v>2102504125</v>
      </c>
      <c r="B1227" s="7" t="str">
        <f t="shared" si="66"/>
        <v>2021025</v>
      </c>
      <c r="C1227" s="7" t="str">
        <f t="shared" si="67"/>
        <v>041</v>
      </c>
      <c r="D1227" s="7" t="str">
        <f>"25"</f>
        <v>25</v>
      </c>
      <c r="E1227" s="8">
        <v>62.9</v>
      </c>
      <c r="F1227" s="7" t="s">
        <v>7</v>
      </c>
    </row>
    <row r="1228" s="2" customFormat="1" ht="14.1" customHeight="1" spans="1:6">
      <c r="A1228" s="7" t="str">
        <f>"2102504126"</f>
        <v>2102504126</v>
      </c>
      <c r="B1228" s="7" t="str">
        <f t="shared" si="66"/>
        <v>2021025</v>
      </c>
      <c r="C1228" s="7" t="str">
        <f t="shared" si="67"/>
        <v>041</v>
      </c>
      <c r="D1228" s="7" t="str">
        <f>"26"</f>
        <v>26</v>
      </c>
      <c r="E1228" s="8">
        <v>0</v>
      </c>
      <c r="F1228" s="7" t="s">
        <v>8</v>
      </c>
    </row>
    <row r="1229" s="2" customFormat="1" ht="14.1" customHeight="1" spans="1:6">
      <c r="A1229" s="7" t="str">
        <f>"2102504127"</f>
        <v>2102504127</v>
      </c>
      <c r="B1229" s="7" t="str">
        <f t="shared" si="66"/>
        <v>2021025</v>
      </c>
      <c r="C1229" s="7" t="str">
        <f t="shared" si="67"/>
        <v>041</v>
      </c>
      <c r="D1229" s="7" t="str">
        <f>"27"</f>
        <v>27</v>
      </c>
      <c r="E1229" s="8">
        <v>61.3</v>
      </c>
      <c r="F1229" s="7" t="s">
        <v>7</v>
      </c>
    </row>
    <row r="1230" s="2" customFormat="1" ht="14.1" customHeight="1" spans="1:6">
      <c r="A1230" s="7" t="str">
        <f>"2102504128"</f>
        <v>2102504128</v>
      </c>
      <c r="B1230" s="7" t="str">
        <f t="shared" si="66"/>
        <v>2021025</v>
      </c>
      <c r="C1230" s="7" t="str">
        <f t="shared" si="67"/>
        <v>041</v>
      </c>
      <c r="D1230" s="7" t="str">
        <f>"28"</f>
        <v>28</v>
      </c>
      <c r="E1230" s="8">
        <v>0</v>
      </c>
      <c r="F1230" s="7" t="s">
        <v>8</v>
      </c>
    </row>
    <row r="1231" s="2" customFormat="1" ht="14.1" customHeight="1" spans="1:6">
      <c r="A1231" s="7" t="str">
        <f>"2102504129"</f>
        <v>2102504129</v>
      </c>
      <c r="B1231" s="7" t="str">
        <f t="shared" si="66"/>
        <v>2021025</v>
      </c>
      <c r="C1231" s="7" t="str">
        <f t="shared" si="67"/>
        <v>041</v>
      </c>
      <c r="D1231" s="7" t="str">
        <f>"29"</f>
        <v>29</v>
      </c>
      <c r="E1231" s="8">
        <v>0</v>
      </c>
      <c r="F1231" s="7" t="s">
        <v>8</v>
      </c>
    </row>
    <row r="1232" s="2" customFormat="1" ht="14.1" customHeight="1" spans="1:6">
      <c r="A1232" s="7" t="str">
        <f>"2102504130"</f>
        <v>2102504130</v>
      </c>
      <c r="B1232" s="7" t="str">
        <f t="shared" si="66"/>
        <v>2021025</v>
      </c>
      <c r="C1232" s="7" t="str">
        <f t="shared" si="67"/>
        <v>041</v>
      </c>
      <c r="D1232" s="7" t="str">
        <f>"30"</f>
        <v>30</v>
      </c>
      <c r="E1232" s="8">
        <v>0</v>
      </c>
      <c r="F1232" s="7" t="s">
        <v>8</v>
      </c>
    </row>
    <row r="1233" s="2" customFormat="1" ht="14.1" customHeight="1" spans="1:6">
      <c r="A1233" s="7" t="str">
        <f>"2102504201"</f>
        <v>2102504201</v>
      </c>
      <c r="B1233" s="7" t="str">
        <f t="shared" si="66"/>
        <v>2021025</v>
      </c>
      <c r="C1233" s="7" t="str">
        <f t="shared" ref="C1233:C1262" si="68">"042"</f>
        <v>042</v>
      </c>
      <c r="D1233" s="7" t="str">
        <f>"01"</f>
        <v>01</v>
      </c>
      <c r="E1233" s="8">
        <v>60.7</v>
      </c>
      <c r="F1233" s="7" t="s">
        <v>7</v>
      </c>
    </row>
    <row r="1234" s="2" customFormat="1" ht="14.1" customHeight="1" spans="1:6">
      <c r="A1234" s="7" t="str">
        <f>"2102504202"</f>
        <v>2102504202</v>
      </c>
      <c r="B1234" s="7" t="str">
        <f t="shared" si="66"/>
        <v>2021025</v>
      </c>
      <c r="C1234" s="7" t="str">
        <f t="shared" si="68"/>
        <v>042</v>
      </c>
      <c r="D1234" s="7" t="str">
        <f>"02"</f>
        <v>02</v>
      </c>
      <c r="E1234" s="8">
        <v>66.7</v>
      </c>
      <c r="F1234" s="7" t="s">
        <v>7</v>
      </c>
    </row>
    <row r="1235" s="2" customFormat="1" ht="14.1" customHeight="1" spans="1:6">
      <c r="A1235" s="7" t="str">
        <f>"2102504203"</f>
        <v>2102504203</v>
      </c>
      <c r="B1235" s="7" t="str">
        <f t="shared" si="66"/>
        <v>2021025</v>
      </c>
      <c r="C1235" s="7" t="str">
        <f t="shared" si="68"/>
        <v>042</v>
      </c>
      <c r="D1235" s="7" t="str">
        <f>"03"</f>
        <v>03</v>
      </c>
      <c r="E1235" s="8">
        <v>64.1</v>
      </c>
      <c r="F1235" s="7" t="s">
        <v>7</v>
      </c>
    </row>
    <row r="1236" s="2" customFormat="1" ht="14.1" customHeight="1" spans="1:6">
      <c r="A1236" s="7" t="str">
        <f>"2102504204"</f>
        <v>2102504204</v>
      </c>
      <c r="B1236" s="7" t="str">
        <f t="shared" si="66"/>
        <v>2021025</v>
      </c>
      <c r="C1236" s="7" t="str">
        <f t="shared" si="68"/>
        <v>042</v>
      </c>
      <c r="D1236" s="7" t="str">
        <f>"04"</f>
        <v>04</v>
      </c>
      <c r="E1236" s="8">
        <v>57.9</v>
      </c>
      <c r="F1236" s="7" t="s">
        <v>7</v>
      </c>
    </row>
    <row r="1237" s="2" customFormat="1" ht="14.1" customHeight="1" spans="1:6">
      <c r="A1237" s="7" t="str">
        <f>"2102504205"</f>
        <v>2102504205</v>
      </c>
      <c r="B1237" s="7" t="str">
        <f t="shared" si="66"/>
        <v>2021025</v>
      </c>
      <c r="C1237" s="7" t="str">
        <f t="shared" si="68"/>
        <v>042</v>
      </c>
      <c r="D1237" s="7" t="str">
        <f>"05"</f>
        <v>05</v>
      </c>
      <c r="E1237" s="8">
        <v>57.2</v>
      </c>
      <c r="F1237" s="7" t="s">
        <v>7</v>
      </c>
    </row>
    <row r="1238" s="2" customFormat="1" ht="14.1" customHeight="1" spans="1:6">
      <c r="A1238" s="7" t="str">
        <f>"2102504206"</f>
        <v>2102504206</v>
      </c>
      <c r="B1238" s="7" t="str">
        <f t="shared" si="66"/>
        <v>2021025</v>
      </c>
      <c r="C1238" s="7" t="str">
        <f t="shared" si="68"/>
        <v>042</v>
      </c>
      <c r="D1238" s="7" t="str">
        <f>"06"</f>
        <v>06</v>
      </c>
      <c r="E1238" s="8">
        <v>0</v>
      </c>
      <c r="F1238" s="7" t="s">
        <v>8</v>
      </c>
    </row>
    <row r="1239" s="2" customFormat="1" ht="14.1" customHeight="1" spans="1:6">
      <c r="A1239" s="7" t="str">
        <f>"2102504207"</f>
        <v>2102504207</v>
      </c>
      <c r="B1239" s="7" t="str">
        <f t="shared" si="66"/>
        <v>2021025</v>
      </c>
      <c r="C1239" s="7" t="str">
        <f t="shared" si="68"/>
        <v>042</v>
      </c>
      <c r="D1239" s="7" t="str">
        <f>"07"</f>
        <v>07</v>
      </c>
      <c r="E1239" s="8">
        <v>0</v>
      </c>
      <c r="F1239" s="7" t="s">
        <v>8</v>
      </c>
    </row>
    <row r="1240" s="2" customFormat="1" ht="14.1" customHeight="1" spans="1:6">
      <c r="A1240" s="7" t="str">
        <f>"2102504208"</f>
        <v>2102504208</v>
      </c>
      <c r="B1240" s="7" t="str">
        <f t="shared" si="66"/>
        <v>2021025</v>
      </c>
      <c r="C1240" s="7" t="str">
        <f t="shared" si="68"/>
        <v>042</v>
      </c>
      <c r="D1240" s="7" t="str">
        <f>"08"</f>
        <v>08</v>
      </c>
      <c r="E1240" s="8">
        <v>0</v>
      </c>
      <c r="F1240" s="7" t="s">
        <v>8</v>
      </c>
    </row>
    <row r="1241" s="2" customFormat="1" ht="14.1" customHeight="1" spans="1:6">
      <c r="A1241" s="7" t="str">
        <f>"2102504209"</f>
        <v>2102504209</v>
      </c>
      <c r="B1241" s="7" t="str">
        <f t="shared" ref="B1241:B1304" si="69">"2021025"</f>
        <v>2021025</v>
      </c>
      <c r="C1241" s="7" t="str">
        <f t="shared" si="68"/>
        <v>042</v>
      </c>
      <c r="D1241" s="7" t="str">
        <f>"09"</f>
        <v>09</v>
      </c>
      <c r="E1241" s="8">
        <v>0</v>
      </c>
      <c r="F1241" s="7" t="s">
        <v>8</v>
      </c>
    </row>
    <row r="1242" s="2" customFormat="1" ht="14.1" customHeight="1" spans="1:6">
      <c r="A1242" s="7" t="str">
        <f>"2102504210"</f>
        <v>2102504210</v>
      </c>
      <c r="B1242" s="7" t="str">
        <f t="shared" si="69"/>
        <v>2021025</v>
      </c>
      <c r="C1242" s="7" t="str">
        <f t="shared" si="68"/>
        <v>042</v>
      </c>
      <c r="D1242" s="7" t="str">
        <f>"10"</f>
        <v>10</v>
      </c>
      <c r="E1242" s="8">
        <v>56.5</v>
      </c>
      <c r="F1242" s="7" t="s">
        <v>7</v>
      </c>
    </row>
    <row r="1243" s="2" customFormat="1" ht="14.1" customHeight="1" spans="1:6">
      <c r="A1243" s="7" t="str">
        <f>"2102504211"</f>
        <v>2102504211</v>
      </c>
      <c r="B1243" s="7" t="str">
        <f t="shared" si="69"/>
        <v>2021025</v>
      </c>
      <c r="C1243" s="7" t="str">
        <f t="shared" si="68"/>
        <v>042</v>
      </c>
      <c r="D1243" s="7" t="str">
        <f>"11"</f>
        <v>11</v>
      </c>
      <c r="E1243" s="8">
        <v>0</v>
      </c>
      <c r="F1243" s="7" t="s">
        <v>8</v>
      </c>
    </row>
    <row r="1244" s="2" customFormat="1" ht="14.1" customHeight="1" spans="1:6">
      <c r="A1244" s="7" t="str">
        <f>"2102504212"</f>
        <v>2102504212</v>
      </c>
      <c r="B1244" s="7" t="str">
        <f t="shared" si="69"/>
        <v>2021025</v>
      </c>
      <c r="C1244" s="7" t="str">
        <f t="shared" si="68"/>
        <v>042</v>
      </c>
      <c r="D1244" s="7" t="str">
        <f>"12"</f>
        <v>12</v>
      </c>
      <c r="E1244" s="8">
        <v>59.9</v>
      </c>
      <c r="F1244" s="7" t="s">
        <v>7</v>
      </c>
    </row>
    <row r="1245" s="2" customFormat="1" ht="14.1" customHeight="1" spans="1:6">
      <c r="A1245" s="7" t="str">
        <f>"2102504213"</f>
        <v>2102504213</v>
      </c>
      <c r="B1245" s="7" t="str">
        <f t="shared" si="69"/>
        <v>2021025</v>
      </c>
      <c r="C1245" s="7" t="str">
        <f t="shared" si="68"/>
        <v>042</v>
      </c>
      <c r="D1245" s="7" t="str">
        <f>"13"</f>
        <v>13</v>
      </c>
      <c r="E1245" s="8">
        <v>0</v>
      </c>
      <c r="F1245" s="7" t="s">
        <v>8</v>
      </c>
    </row>
    <row r="1246" s="2" customFormat="1" ht="14.1" customHeight="1" spans="1:6">
      <c r="A1246" s="7" t="str">
        <f>"2102504214"</f>
        <v>2102504214</v>
      </c>
      <c r="B1246" s="7" t="str">
        <f t="shared" si="69"/>
        <v>2021025</v>
      </c>
      <c r="C1246" s="7" t="str">
        <f t="shared" si="68"/>
        <v>042</v>
      </c>
      <c r="D1246" s="7" t="str">
        <f>"14"</f>
        <v>14</v>
      </c>
      <c r="E1246" s="8">
        <v>0</v>
      </c>
      <c r="F1246" s="7" t="s">
        <v>8</v>
      </c>
    </row>
    <row r="1247" s="2" customFormat="1" ht="14.1" customHeight="1" spans="1:6">
      <c r="A1247" s="7" t="str">
        <f>"2102504215"</f>
        <v>2102504215</v>
      </c>
      <c r="B1247" s="7" t="str">
        <f t="shared" si="69"/>
        <v>2021025</v>
      </c>
      <c r="C1247" s="7" t="str">
        <f t="shared" si="68"/>
        <v>042</v>
      </c>
      <c r="D1247" s="7" t="str">
        <f>"15"</f>
        <v>15</v>
      </c>
      <c r="E1247" s="8">
        <v>66.2</v>
      </c>
      <c r="F1247" s="7" t="s">
        <v>7</v>
      </c>
    </row>
    <row r="1248" s="2" customFormat="1" ht="14.1" customHeight="1" spans="1:6">
      <c r="A1248" s="7" t="str">
        <f>"2102504216"</f>
        <v>2102504216</v>
      </c>
      <c r="B1248" s="7" t="str">
        <f t="shared" si="69"/>
        <v>2021025</v>
      </c>
      <c r="C1248" s="7" t="str">
        <f t="shared" si="68"/>
        <v>042</v>
      </c>
      <c r="D1248" s="7" t="str">
        <f>"16"</f>
        <v>16</v>
      </c>
      <c r="E1248" s="8">
        <v>64.9</v>
      </c>
      <c r="F1248" s="7" t="s">
        <v>7</v>
      </c>
    </row>
    <row r="1249" s="2" customFormat="1" ht="14.1" customHeight="1" spans="1:6">
      <c r="A1249" s="7" t="str">
        <f>"2102504217"</f>
        <v>2102504217</v>
      </c>
      <c r="B1249" s="7" t="str">
        <f t="shared" si="69"/>
        <v>2021025</v>
      </c>
      <c r="C1249" s="7" t="str">
        <f t="shared" si="68"/>
        <v>042</v>
      </c>
      <c r="D1249" s="7" t="str">
        <f>"17"</f>
        <v>17</v>
      </c>
      <c r="E1249" s="8">
        <v>63.4</v>
      </c>
      <c r="F1249" s="7" t="s">
        <v>7</v>
      </c>
    </row>
    <row r="1250" s="2" customFormat="1" ht="14.1" customHeight="1" spans="1:6">
      <c r="A1250" s="7" t="str">
        <f>"2102504218"</f>
        <v>2102504218</v>
      </c>
      <c r="B1250" s="7" t="str">
        <f t="shared" si="69"/>
        <v>2021025</v>
      </c>
      <c r="C1250" s="7" t="str">
        <f t="shared" si="68"/>
        <v>042</v>
      </c>
      <c r="D1250" s="7" t="str">
        <f>"18"</f>
        <v>18</v>
      </c>
      <c r="E1250" s="8">
        <v>0</v>
      </c>
      <c r="F1250" s="7" t="s">
        <v>8</v>
      </c>
    </row>
    <row r="1251" s="2" customFormat="1" ht="14.1" customHeight="1" spans="1:6">
      <c r="A1251" s="7" t="str">
        <f>"2102504219"</f>
        <v>2102504219</v>
      </c>
      <c r="B1251" s="7" t="str">
        <f t="shared" si="69"/>
        <v>2021025</v>
      </c>
      <c r="C1251" s="7" t="str">
        <f t="shared" si="68"/>
        <v>042</v>
      </c>
      <c r="D1251" s="7" t="str">
        <f>"19"</f>
        <v>19</v>
      </c>
      <c r="E1251" s="8">
        <v>63.4</v>
      </c>
      <c r="F1251" s="7" t="s">
        <v>7</v>
      </c>
    </row>
    <row r="1252" s="2" customFormat="1" ht="14.1" customHeight="1" spans="1:6">
      <c r="A1252" s="7" t="str">
        <f>"2102504220"</f>
        <v>2102504220</v>
      </c>
      <c r="B1252" s="7" t="str">
        <f t="shared" si="69"/>
        <v>2021025</v>
      </c>
      <c r="C1252" s="7" t="str">
        <f t="shared" si="68"/>
        <v>042</v>
      </c>
      <c r="D1252" s="7" t="str">
        <f>"20"</f>
        <v>20</v>
      </c>
      <c r="E1252" s="8">
        <v>0</v>
      </c>
      <c r="F1252" s="7" t="s">
        <v>8</v>
      </c>
    </row>
    <row r="1253" s="2" customFormat="1" ht="14.1" customHeight="1" spans="1:6">
      <c r="A1253" s="7" t="str">
        <f>"2102504221"</f>
        <v>2102504221</v>
      </c>
      <c r="B1253" s="7" t="str">
        <f t="shared" si="69"/>
        <v>2021025</v>
      </c>
      <c r="C1253" s="7" t="str">
        <f t="shared" si="68"/>
        <v>042</v>
      </c>
      <c r="D1253" s="7" t="str">
        <f>"21"</f>
        <v>21</v>
      </c>
      <c r="E1253" s="8">
        <v>0</v>
      </c>
      <c r="F1253" s="7" t="s">
        <v>8</v>
      </c>
    </row>
    <row r="1254" s="2" customFormat="1" ht="14.1" customHeight="1" spans="1:6">
      <c r="A1254" s="7" t="str">
        <f>"2102504222"</f>
        <v>2102504222</v>
      </c>
      <c r="B1254" s="7" t="str">
        <f t="shared" si="69"/>
        <v>2021025</v>
      </c>
      <c r="C1254" s="7" t="str">
        <f t="shared" si="68"/>
        <v>042</v>
      </c>
      <c r="D1254" s="7" t="str">
        <f>"22"</f>
        <v>22</v>
      </c>
      <c r="E1254" s="8">
        <v>59.9</v>
      </c>
      <c r="F1254" s="7" t="s">
        <v>7</v>
      </c>
    </row>
    <row r="1255" s="2" customFormat="1" ht="14.1" customHeight="1" spans="1:6">
      <c r="A1255" s="7" t="str">
        <f>"2102504223"</f>
        <v>2102504223</v>
      </c>
      <c r="B1255" s="7" t="str">
        <f t="shared" si="69"/>
        <v>2021025</v>
      </c>
      <c r="C1255" s="7" t="str">
        <f t="shared" si="68"/>
        <v>042</v>
      </c>
      <c r="D1255" s="7" t="str">
        <f>"23"</f>
        <v>23</v>
      </c>
      <c r="E1255" s="8">
        <v>65.1</v>
      </c>
      <c r="F1255" s="7" t="s">
        <v>7</v>
      </c>
    </row>
    <row r="1256" s="2" customFormat="1" ht="14.1" customHeight="1" spans="1:6">
      <c r="A1256" s="7" t="str">
        <f>"2102504224"</f>
        <v>2102504224</v>
      </c>
      <c r="B1256" s="7" t="str">
        <f t="shared" si="69"/>
        <v>2021025</v>
      </c>
      <c r="C1256" s="7" t="str">
        <f t="shared" si="68"/>
        <v>042</v>
      </c>
      <c r="D1256" s="7" t="str">
        <f>"24"</f>
        <v>24</v>
      </c>
      <c r="E1256" s="8">
        <v>0</v>
      </c>
      <c r="F1256" s="7" t="s">
        <v>8</v>
      </c>
    </row>
    <row r="1257" s="2" customFormat="1" ht="14.1" customHeight="1" spans="1:6">
      <c r="A1257" s="7" t="str">
        <f>"2102504225"</f>
        <v>2102504225</v>
      </c>
      <c r="B1257" s="7" t="str">
        <f t="shared" si="69"/>
        <v>2021025</v>
      </c>
      <c r="C1257" s="7" t="str">
        <f t="shared" si="68"/>
        <v>042</v>
      </c>
      <c r="D1257" s="7" t="str">
        <f>"25"</f>
        <v>25</v>
      </c>
      <c r="E1257" s="8">
        <v>64.5</v>
      </c>
      <c r="F1257" s="7" t="s">
        <v>7</v>
      </c>
    </row>
    <row r="1258" s="2" customFormat="1" ht="14.1" customHeight="1" spans="1:6">
      <c r="A1258" s="7" t="str">
        <f>"2102504226"</f>
        <v>2102504226</v>
      </c>
      <c r="B1258" s="7" t="str">
        <f t="shared" si="69"/>
        <v>2021025</v>
      </c>
      <c r="C1258" s="7" t="str">
        <f t="shared" si="68"/>
        <v>042</v>
      </c>
      <c r="D1258" s="7" t="str">
        <f>"26"</f>
        <v>26</v>
      </c>
      <c r="E1258" s="8">
        <v>0</v>
      </c>
      <c r="F1258" s="7" t="s">
        <v>8</v>
      </c>
    </row>
    <row r="1259" s="2" customFormat="1" ht="14.1" customHeight="1" spans="1:6">
      <c r="A1259" s="7" t="str">
        <f>"2102504227"</f>
        <v>2102504227</v>
      </c>
      <c r="B1259" s="7" t="str">
        <f t="shared" si="69"/>
        <v>2021025</v>
      </c>
      <c r="C1259" s="7" t="str">
        <f t="shared" si="68"/>
        <v>042</v>
      </c>
      <c r="D1259" s="7" t="str">
        <f>"27"</f>
        <v>27</v>
      </c>
      <c r="E1259" s="8">
        <v>71.2</v>
      </c>
      <c r="F1259" s="7" t="s">
        <v>7</v>
      </c>
    </row>
    <row r="1260" s="2" customFormat="1" ht="14.1" customHeight="1" spans="1:6">
      <c r="A1260" s="7" t="str">
        <f>"2102504228"</f>
        <v>2102504228</v>
      </c>
      <c r="B1260" s="7" t="str">
        <f t="shared" si="69"/>
        <v>2021025</v>
      </c>
      <c r="C1260" s="7" t="str">
        <f t="shared" si="68"/>
        <v>042</v>
      </c>
      <c r="D1260" s="7" t="str">
        <f>"28"</f>
        <v>28</v>
      </c>
      <c r="E1260" s="8">
        <v>0</v>
      </c>
      <c r="F1260" s="7" t="s">
        <v>8</v>
      </c>
    </row>
    <row r="1261" s="2" customFormat="1" ht="14.1" customHeight="1" spans="1:6">
      <c r="A1261" s="7" t="str">
        <f>"2102504229"</f>
        <v>2102504229</v>
      </c>
      <c r="B1261" s="7" t="str">
        <f t="shared" si="69"/>
        <v>2021025</v>
      </c>
      <c r="C1261" s="7" t="str">
        <f t="shared" si="68"/>
        <v>042</v>
      </c>
      <c r="D1261" s="7" t="str">
        <f>"29"</f>
        <v>29</v>
      </c>
      <c r="E1261" s="8">
        <v>0</v>
      </c>
      <c r="F1261" s="7" t="s">
        <v>8</v>
      </c>
    </row>
    <row r="1262" s="2" customFormat="1" ht="14.1" customHeight="1" spans="1:6">
      <c r="A1262" s="7" t="str">
        <f>"2102504230"</f>
        <v>2102504230</v>
      </c>
      <c r="B1262" s="7" t="str">
        <f t="shared" si="69"/>
        <v>2021025</v>
      </c>
      <c r="C1262" s="7" t="str">
        <f t="shared" si="68"/>
        <v>042</v>
      </c>
      <c r="D1262" s="7" t="str">
        <f>"30"</f>
        <v>30</v>
      </c>
      <c r="E1262" s="8">
        <v>69.5</v>
      </c>
      <c r="F1262" s="7" t="s">
        <v>7</v>
      </c>
    </row>
    <row r="1263" s="2" customFormat="1" ht="14.1" customHeight="1" spans="1:6">
      <c r="A1263" s="7" t="str">
        <f>"2102504301"</f>
        <v>2102504301</v>
      </c>
      <c r="B1263" s="7" t="str">
        <f t="shared" si="69"/>
        <v>2021025</v>
      </c>
      <c r="C1263" s="7" t="str">
        <f t="shared" ref="C1263:C1292" si="70">"043"</f>
        <v>043</v>
      </c>
      <c r="D1263" s="7" t="str">
        <f>"01"</f>
        <v>01</v>
      </c>
      <c r="E1263" s="8">
        <v>65.6</v>
      </c>
      <c r="F1263" s="7" t="s">
        <v>7</v>
      </c>
    </row>
    <row r="1264" s="2" customFormat="1" ht="14.1" customHeight="1" spans="1:6">
      <c r="A1264" s="7" t="str">
        <f>"2102504302"</f>
        <v>2102504302</v>
      </c>
      <c r="B1264" s="7" t="str">
        <f t="shared" si="69"/>
        <v>2021025</v>
      </c>
      <c r="C1264" s="7" t="str">
        <f t="shared" si="70"/>
        <v>043</v>
      </c>
      <c r="D1264" s="7" t="str">
        <f>"02"</f>
        <v>02</v>
      </c>
      <c r="E1264" s="8">
        <v>56.4</v>
      </c>
      <c r="F1264" s="7" t="s">
        <v>7</v>
      </c>
    </row>
    <row r="1265" s="2" customFormat="1" ht="14.1" customHeight="1" spans="1:6">
      <c r="A1265" s="7" t="str">
        <f>"2102504303"</f>
        <v>2102504303</v>
      </c>
      <c r="B1265" s="7" t="str">
        <f t="shared" si="69"/>
        <v>2021025</v>
      </c>
      <c r="C1265" s="7" t="str">
        <f t="shared" si="70"/>
        <v>043</v>
      </c>
      <c r="D1265" s="7" t="str">
        <f>"03"</f>
        <v>03</v>
      </c>
      <c r="E1265" s="8">
        <v>0</v>
      </c>
      <c r="F1265" s="7" t="s">
        <v>8</v>
      </c>
    </row>
    <row r="1266" s="2" customFormat="1" ht="14.1" customHeight="1" spans="1:6">
      <c r="A1266" s="7" t="str">
        <f>"2102504304"</f>
        <v>2102504304</v>
      </c>
      <c r="B1266" s="7" t="str">
        <f t="shared" si="69"/>
        <v>2021025</v>
      </c>
      <c r="C1266" s="7" t="str">
        <f t="shared" si="70"/>
        <v>043</v>
      </c>
      <c r="D1266" s="7" t="str">
        <f>"04"</f>
        <v>04</v>
      </c>
      <c r="E1266" s="8">
        <v>70.9</v>
      </c>
      <c r="F1266" s="7" t="s">
        <v>7</v>
      </c>
    </row>
    <row r="1267" s="2" customFormat="1" ht="14.1" customHeight="1" spans="1:6">
      <c r="A1267" s="7" t="str">
        <f>"2102504305"</f>
        <v>2102504305</v>
      </c>
      <c r="B1267" s="7" t="str">
        <f t="shared" si="69"/>
        <v>2021025</v>
      </c>
      <c r="C1267" s="7" t="str">
        <f t="shared" si="70"/>
        <v>043</v>
      </c>
      <c r="D1267" s="7" t="str">
        <f>"05"</f>
        <v>05</v>
      </c>
      <c r="E1267" s="8">
        <v>0</v>
      </c>
      <c r="F1267" s="7" t="s">
        <v>8</v>
      </c>
    </row>
    <row r="1268" s="2" customFormat="1" ht="14.1" customHeight="1" spans="1:6">
      <c r="A1268" s="7" t="str">
        <f>"2102504306"</f>
        <v>2102504306</v>
      </c>
      <c r="B1268" s="7" t="str">
        <f t="shared" si="69"/>
        <v>2021025</v>
      </c>
      <c r="C1268" s="7" t="str">
        <f t="shared" si="70"/>
        <v>043</v>
      </c>
      <c r="D1268" s="7" t="str">
        <f>"06"</f>
        <v>06</v>
      </c>
      <c r="E1268" s="8">
        <v>0</v>
      </c>
      <c r="F1268" s="7" t="s">
        <v>8</v>
      </c>
    </row>
    <row r="1269" s="2" customFormat="1" ht="14.1" customHeight="1" spans="1:6">
      <c r="A1269" s="7" t="str">
        <f>"2102504307"</f>
        <v>2102504307</v>
      </c>
      <c r="B1269" s="7" t="str">
        <f t="shared" si="69"/>
        <v>2021025</v>
      </c>
      <c r="C1269" s="7" t="str">
        <f t="shared" si="70"/>
        <v>043</v>
      </c>
      <c r="D1269" s="7" t="str">
        <f>"07"</f>
        <v>07</v>
      </c>
      <c r="E1269" s="8">
        <v>0</v>
      </c>
      <c r="F1269" s="7" t="s">
        <v>8</v>
      </c>
    </row>
    <row r="1270" s="2" customFormat="1" ht="14.1" customHeight="1" spans="1:6">
      <c r="A1270" s="7" t="str">
        <f>"2102504308"</f>
        <v>2102504308</v>
      </c>
      <c r="B1270" s="7" t="str">
        <f t="shared" si="69"/>
        <v>2021025</v>
      </c>
      <c r="C1270" s="7" t="str">
        <f t="shared" si="70"/>
        <v>043</v>
      </c>
      <c r="D1270" s="7" t="str">
        <f>"08"</f>
        <v>08</v>
      </c>
      <c r="E1270" s="8">
        <v>62.5</v>
      </c>
      <c r="F1270" s="7" t="s">
        <v>7</v>
      </c>
    </row>
    <row r="1271" s="2" customFormat="1" ht="14.1" customHeight="1" spans="1:6">
      <c r="A1271" s="7" t="str">
        <f>"2102504309"</f>
        <v>2102504309</v>
      </c>
      <c r="B1271" s="7" t="str">
        <f t="shared" si="69"/>
        <v>2021025</v>
      </c>
      <c r="C1271" s="7" t="str">
        <f t="shared" si="70"/>
        <v>043</v>
      </c>
      <c r="D1271" s="7" t="str">
        <f>"09"</f>
        <v>09</v>
      </c>
      <c r="E1271" s="8">
        <v>60.5</v>
      </c>
      <c r="F1271" s="7" t="s">
        <v>7</v>
      </c>
    </row>
    <row r="1272" s="2" customFormat="1" ht="14.1" customHeight="1" spans="1:6">
      <c r="A1272" s="7" t="str">
        <f>"2102504310"</f>
        <v>2102504310</v>
      </c>
      <c r="B1272" s="7" t="str">
        <f t="shared" si="69"/>
        <v>2021025</v>
      </c>
      <c r="C1272" s="7" t="str">
        <f t="shared" si="70"/>
        <v>043</v>
      </c>
      <c r="D1272" s="7" t="str">
        <f>"10"</f>
        <v>10</v>
      </c>
      <c r="E1272" s="8">
        <v>57.1</v>
      </c>
      <c r="F1272" s="7" t="s">
        <v>7</v>
      </c>
    </row>
    <row r="1273" s="2" customFormat="1" ht="14.1" customHeight="1" spans="1:6">
      <c r="A1273" s="7" t="str">
        <f>"2102504311"</f>
        <v>2102504311</v>
      </c>
      <c r="B1273" s="7" t="str">
        <f t="shared" si="69"/>
        <v>2021025</v>
      </c>
      <c r="C1273" s="7" t="str">
        <f t="shared" si="70"/>
        <v>043</v>
      </c>
      <c r="D1273" s="7" t="str">
        <f>"11"</f>
        <v>11</v>
      </c>
      <c r="E1273" s="8">
        <v>59.7</v>
      </c>
      <c r="F1273" s="7" t="s">
        <v>7</v>
      </c>
    </row>
    <row r="1274" s="2" customFormat="1" ht="14.1" customHeight="1" spans="1:6">
      <c r="A1274" s="7" t="str">
        <f>"2102504312"</f>
        <v>2102504312</v>
      </c>
      <c r="B1274" s="7" t="str">
        <f t="shared" si="69"/>
        <v>2021025</v>
      </c>
      <c r="C1274" s="7" t="str">
        <f t="shared" si="70"/>
        <v>043</v>
      </c>
      <c r="D1274" s="7" t="str">
        <f>"12"</f>
        <v>12</v>
      </c>
      <c r="E1274" s="8">
        <v>0</v>
      </c>
      <c r="F1274" s="7" t="s">
        <v>8</v>
      </c>
    </row>
    <row r="1275" s="2" customFormat="1" ht="14.1" customHeight="1" spans="1:6">
      <c r="A1275" s="7" t="str">
        <f>"2102504313"</f>
        <v>2102504313</v>
      </c>
      <c r="B1275" s="7" t="str">
        <f t="shared" si="69"/>
        <v>2021025</v>
      </c>
      <c r="C1275" s="7" t="str">
        <f t="shared" si="70"/>
        <v>043</v>
      </c>
      <c r="D1275" s="7" t="str">
        <f>"13"</f>
        <v>13</v>
      </c>
      <c r="E1275" s="8">
        <v>0</v>
      </c>
      <c r="F1275" s="7" t="s">
        <v>8</v>
      </c>
    </row>
    <row r="1276" s="2" customFormat="1" ht="14.1" customHeight="1" spans="1:6">
      <c r="A1276" s="7" t="str">
        <f>"2102504314"</f>
        <v>2102504314</v>
      </c>
      <c r="B1276" s="7" t="str">
        <f t="shared" si="69"/>
        <v>2021025</v>
      </c>
      <c r="C1276" s="7" t="str">
        <f t="shared" si="70"/>
        <v>043</v>
      </c>
      <c r="D1276" s="7" t="str">
        <f>"14"</f>
        <v>14</v>
      </c>
      <c r="E1276" s="8">
        <v>64.3</v>
      </c>
      <c r="F1276" s="7" t="s">
        <v>7</v>
      </c>
    </row>
    <row r="1277" s="2" customFormat="1" ht="14.1" customHeight="1" spans="1:6">
      <c r="A1277" s="7" t="str">
        <f>"2102504315"</f>
        <v>2102504315</v>
      </c>
      <c r="B1277" s="7" t="str">
        <f t="shared" si="69"/>
        <v>2021025</v>
      </c>
      <c r="C1277" s="7" t="str">
        <f t="shared" si="70"/>
        <v>043</v>
      </c>
      <c r="D1277" s="7" t="str">
        <f>"15"</f>
        <v>15</v>
      </c>
      <c r="E1277" s="8">
        <v>0</v>
      </c>
      <c r="F1277" s="7" t="s">
        <v>8</v>
      </c>
    </row>
    <row r="1278" s="2" customFormat="1" ht="14.1" customHeight="1" spans="1:6">
      <c r="A1278" s="7" t="str">
        <f>"2102504316"</f>
        <v>2102504316</v>
      </c>
      <c r="B1278" s="7" t="str">
        <f t="shared" si="69"/>
        <v>2021025</v>
      </c>
      <c r="C1278" s="7" t="str">
        <f t="shared" si="70"/>
        <v>043</v>
      </c>
      <c r="D1278" s="7" t="str">
        <f>"16"</f>
        <v>16</v>
      </c>
      <c r="E1278" s="8">
        <v>0</v>
      </c>
      <c r="F1278" s="7" t="s">
        <v>8</v>
      </c>
    </row>
    <row r="1279" s="2" customFormat="1" ht="14.1" customHeight="1" spans="1:6">
      <c r="A1279" s="7" t="str">
        <f>"2102504317"</f>
        <v>2102504317</v>
      </c>
      <c r="B1279" s="7" t="str">
        <f t="shared" si="69"/>
        <v>2021025</v>
      </c>
      <c r="C1279" s="7" t="str">
        <f t="shared" si="70"/>
        <v>043</v>
      </c>
      <c r="D1279" s="7" t="str">
        <f>"17"</f>
        <v>17</v>
      </c>
      <c r="E1279" s="8">
        <v>68.7</v>
      </c>
      <c r="F1279" s="7" t="s">
        <v>7</v>
      </c>
    </row>
    <row r="1280" s="2" customFormat="1" ht="14.1" customHeight="1" spans="1:6">
      <c r="A1280" s="7" t="str">
        <f>"2102504318"</f>
        <v>2102504318</v>
      </c>
      <c r="B1280" s="7" t="str">
        <f t="shared" si="69"/>
        <v>2021025</v>
      </c>
      <c r="C1280" s="7" t="str">
        <f t="shared" si="70"/>
        <v>043</v>
      </c>
      <c r="D1280" s="7" t="str">
        <f>"18"</f>
        <v>18</v>
      </c>
      <c r="E1280" s="8">
        <v>66.5</v>
      </c>
      <c r="F1280" s="7" t="s">
        <v>7</v>
      </c>
    </row>
    <row r="1281" s="2" customFormat="1" ht="14.1" customHeight="1" spans="1:6">
      <c r="A1281" s="7" t="str">
        <f>"2102504319"</f>
        <v>2102504319</v>
      </c>
      <c r="B1281" s="7" t="str">
        <f t="shared" si="69"/>
        <v>2021025</v>
      </c>
      <c r="C1281" s="7" t="str">
        <f t="shared" si="70"/>
        <v>043</v>
      </c>
      <c r="D1281" s="7" t="str">
        <f>"19"</f>
        <v>19</v>
      </c>
      <c r="E1281" s="8">
        <v>48.5</v>
      </c>
      <c r="F1281" s="7" t="s">
        <v>7</v>
      </c>
    </row>
    <row r="1282" s="2" customFormat="1" ht="14.1" customHeight="1" spans="1:6">
      <c r="A1282" s="7" t="str">
        <f>"2102504320"</f>
        <v>2102504320</v>
      </c>
      <c r="B1282" s="7" t="str">
        <f t="shared" si="69"/>
        <v>2021025</v>
      </c>
      <c r="C1282" s="7" t="str">
        <f t="shared" si="70"/>
        <v>043</v>
      </c>
      <c r="D1282" s="7" t="str">
        <f>"20"</f>
        <v>20</v>
      </c>
      <c r="E1282" s="8">
        <v>0</v>
      </c>
      <c r="F1282" s="7" t="s">
        <v>8</v>
      </c>
    </row>
    <row r="1283" s="2" customFormat="1" ht="14.1" customHeight="1" spans="1:6">
      <c r="A1283" s="7" t="str">
        <f>"2102504321"</f>
        <v>2102504321</v>
      </c>
      <c r="B1283" s="7" t="str">
        <f t="shared" si="69"/>
        <v>2021025</v>
      </c>
      <c r="C1283" s="7" t="str">
        <f t="shared" si="70"/>
        <v>043</v>
      </c>
      <c r="D1283" s="7" t="str">
        <f>"21"</f>
        <v>21</v>
      </c>
      <c r="E1283" s="8">
        <v>0</v>
      </c>
      <c r="F1283" s="7" t="s">
        <v>8</v>
      </c>
    </row>
    <row r="1284" s="2" customFormat="1" ht="14.1" customHeight="1" spans="1:6">
      <c r="A1284" s="7" t="str">
        <f>"2102504322"</f>
        <v>2102504322</v>
      </c>
      <c r="B1284" s="7" t="str">
        <f t="shared" si="69"/>
        <v>2021025</v>
      </c>
      <c r="C1284" s="7" t="str">
        <f t="shared" si="70"/>
        <v>043</v>
      </c>
      <c r="D1284" s="7" t="str">
        <f>"22"</f>
        <v>22</v>
      </c>
      <c r="E1284" s="8">
        <v>0</v>
      </c>
      <c r="F1284" s="7" t="s">
        <v>8</v>
      </c>
    </row>
    <row r="1285" s="2" customFormat="1" ht="14.1" customHeight="1" spans="1:6">
      <c r="A1285" s="7" t="str">
        <f>"2102504323"</f>
        <v>2102504323</v>
      </c>
      <c r="B1285" s="7" t="str">
        <f t="shared" si="69"/>
        <v>2021025</v>
      </c>
      <c r="C1285" s="7" t="str">
        <f t="shared" si="70"/>
        <v>043</v>
      </c>
      <c r="D1285" s="7" t="str">
        <f>"23"</f>
        <v>23</v>
      </c>
      <c r="E1285" s="8">
        <v>56</v>
      </c>
      <c r="F1285" s="7" t="s">
        <v>7</v>
      </c>
    </row>
    <row r="1286" s="2" customFormat="1" ht="14.1" customHeight="1" spans="1:6">
      <c r="A1286" s="7" t="str">
        <f>"2102504324"</f>
        <v>2102504324</v>
      </c>
      <c r="B1286" s="7" t="str">
        <f t="shared" si="69"/>
        <v>2021025</v>
      </c>
      <c r="C1286" s="7" t="str">
        <f t="shared" si="70"/>
        <v>043</v>
      </c>
      <c r="D1286" s="7" t="str">
        <f>"24"</f>
        <v>24</v>
      </c>
      <c r="E1286" s="8">
        <v>70.5</v>
      </c>
      <c r="F1286" s="7" t="s">
        <v>7</v>
      </c>
    </row>
    <row r="1287" s="2" customFormat="1" ht="14.1" customHeight="1" spans="1:6">
      <c r="A1287" s="7" t="str">
        <f>"2102504325"</f>
        <v>2102504325</v>
      </c>
      <c r="B1287" s="7" t="str">
        <f t="shared" si="69"/>
        <v>2021025</v>
      </c>
      <c r="C1287" s="7" t="str">
        <f t="shared" si="70"/>
        <v>043</v>
      </c>
      <c r="D1287" s="7" t="str">
        <f>"25"</f>
        <v>25</v>
      </c>
      <c r="E1287" s="8">
        <v>54.4</v>
      </c>
      <c r="F1287" s="7" t="s">
        <v>7</v>
      </c>
    </row>
    <row r="1288" s="2" customFormat="1" ht="14.1" customHeight="1" spans="1:6">
      <c r="A1288" s="7" t="str">
        <f>"2102504326"</f>
        <v>2102504326</v>
      </c>
      <c r="B1288" s="7" t="str">
        <f t="shared" si="69"/>
        <v>2021025</v>
      </c>
      <c r="C1288" s="7" t="str">
        <f t="shared" si="70"/>
        <v>043</v>
      </c>
      <c r="D1288" s="7" t="str">
        <f>"26"</f>
        <v>26</v>
      </c>
      <c r="E1288" s="8">
        <v>62.7</v>
      </c>
      <c r="F1288" s="7" t="s">
        <v>7</v>
      </c>
    </row>
    <row r="1289" s="2" customFormat="1" ht="14.1" customHeight="1" spans="1:6">
      <c r="A1289" s="7" t="str">
        <f>"2102504327"</f>
        <v>2102504327</v>
      </c>
      <c r="B1289" s="7" t="str">
        <f t="shared" si="69"/>
        <v>2021025</v>
      </c>
      <c r="C1289" s="7" t="str">
        <f t="shared" si="70"/>
        <v>043</v>
      </c>
      <c r="D1289" s="7" t="str">
        <f>"27"</f>
        <v>27</v>
      </c>
      <c r="E1289" s="8">
        <v>61</v>
      </c>
      <c r="F1289" s="7" t="s">
        <v>7</v>
      </c>
    </row>
    <row r="1290" s="2" customFormat="1" ht="14.1" customHeight="1" spans="1:6">
      <c r="A1290" s="7" t="str">
        <f>"2102504328"</f>
        <v>2102504328</v>
      </c>
      <c r="B1290" s="7" t="str">
        <f t="shared" si="69"/>
        <v>2021025</v>
      </c>
      <c r="C1290" s="7" t="str">
        <f t="shared" si="70"/>
        <v>043</v>
      </c>
      <c r="D1290" s="7" t="str">
        <f>"28"</f>
        <v>28</v>
      </c>
      <c r="E1290" s="8">
        <v>0</v>
      </c>
      <c r="F1290" s="7" t="s">
        <v>8</v>
      </c>
    </row>
    <row r="1291" s="2" customFormat="1" ht="14.1" customHeight="1" spans="1:6">
      <c r="A1291" s="7" t="str">
        <f>"2102504329"</f>
        <v>2102504329</v>
      </c>
      <c r="B1291" s="7" t="str">
        <f t="shared" si="69"/>
        <v>2021025</v>
      </c>
      <c r="C1291" s="7" t="str">
        <f t="shared" si="70"/>
        <v>043</v>
      </c>
      <c r="D1291" s="7" t="str">
        <f>"29"</f>
        <v>29</v>
      </c>
      <c r="E1291" s="8">
        <v>51.8</v>
      </c>
      <c r="F1291" s="7" t="s">
        <v>7</v>
      </c>
    </row>
    <row r="1292" s="2" customFormat="1" ht="14.1" customHeight="1" spans="1:6">
      <c r="A1292" s="7" t="str">
        <f>"2102504330"</f>
        <v>2102504330</v>
      </c>
      <c r="B1292" s="7" t="str">
        <f t="shared" si="69"/>
        <v>2021025</v>
      </c>
      <c r="C1292" s="7" t="str">
        <f t="shared" si="70"/>
        <v>043</v>
      </c>
      <c r="D1292" s="7" t="str">
        <f>"30"</f>
        <v>30</v>
      </c>
      <c r="E1292" s="8">
        <v>0</v>
      </c>
      <c r="F1292" s="7" t="s">
        <v>8</v>
      </c>
    </row>
    <row r="1293" s="2" customFormat="1" ht="14.1" customHeight="1" spans="1:6">
      <c r="A1293" s="7" t="str">
        <f>"2102504401"</f>
        <v>2102504401</v>
      </c>
      <c r="B1293" s="7" t="str">
        <f t="shared" si="69"/>
        <v>2021025</v>
      </c>
      <c r="C1293" s="7" t="str">
        <f t="shared" ref="C1293:C1322" si="71">"044"</f>
        <v>044</v>
      </c>
      <c r="D1293" s="7" t="str">
        <f>"01"</f>
        <v>01</v>
      </c>
      <c r="E1293" s="8">
        <v>0</v>
      </c>
      <c r="F1293" s="7" t="s">
        <v>8</v>
      </c>
    </row>
    <row r="1294" s="2" customFormat="1" ht="14.1" customHeight="1" spans="1:6">
      <c r="A1294" s="7" t="str">
        <f>"2102504402"</f>
        <v>2102504402</v>
      </c>
      <c r="B1294" s="7" t="str">
        <f t="shared" si="69"/>
        <v>2021025</v>
      </c>
      <c r="C1294" s="7" t="str">
        <f t="shared" si="71"/>
        <v>044</v>
      </c>
      <c r="D1294" s="7" t="str">
        <f>"02"</f>
        <v>02</v>
      </c>
      <c r="E1294" s="8">
        <v>0</v>
      </c>
      <c r="F1294" s="7" t="s">
        <v>8</v>
      </c>
    </row>
    <row r="1295" s="2" customFormat="1" ht="14.1" customHeight="1" spans="1:6">
      <c r="A1295" s="7" t="str">
        <f>"2102504403"</f>
        <v>2102504403</v>
      </c>
      <c r="B1295" s="7" t="str">
        <f t="shared" si="69"/>
        <v>2021025</v>
      </c>
      <c r="C1295" s="7" t="str">
        <f t="shared" si="71"/>
        <v>044</v>
      </c>
      <c r="D1295" s="7" t="str">
        <f>"03"</f>
        <v>03</v>
      </c>
      <c r="E1295" s="8">
        <v>61.2</v>
      </c>
      <c r="F1295" s="7" t="s">
        <v>7</v>
      </c>
    </row>
    <row r="1296" s="2" customFormat="1" ht="14.1" customHeight="1" spans="1:6">
      <c r="A1296" s="7" t="str">
        <f>"2102504404"</f>
        <v>2102504404</v>
      </c>
      <c r="B1296" s="7" t="str">
        <f t="shared" si="69"/>
        <v>2021025</v>
      </c>
      <c r="C1296" s="7" t="str">
        <f t="shared" si="71"/>
        <v>044</v>
      </c>
      <c r="D1296" s="7" t="str">
        <f>"04"</f>
        <v>04</v>
      </c>
      <c r="E1296" s="8">
        <v>0</v>
      </c>
      <c r="F1296" s="7" t="s">
        <v>8</v>
      </c>
    </row>
    <row r="1297" s="2" customFormat="1" ht="14.1" customHeight="1" spans="1:6">
      <c r="A1297" s="7" t="str">
        <f>"2102504405"</f>
        <v>2102504405</v>
      </c>
      <c r="B1297" s="7" t="str">
        <f t="shared" si="69"/>
        <v>2021025</v>
      </c>
      <c r="C1297" s="7" t="str">
        <f t="shared" si="71"/>
        <v>044</v>
      </c>
      <c r="D1297" s="7" t="str">
        <f>"05"</f>
        <v>05</v>
      </c>
      <c r="E1297" s="8">
        <v>58.5</v>
      </c>
      <c r="F1297" s="7" t="s">
        <v>7</v>
      </c>
    </row>
    <row r="1298" s="2" customFormat="1" ht="14.1" customHeight="1" spans="1:6">
      <c r="A1298" s="7" t="str">
        <f>"2102504406"</f>
        <v>2102504406</v>
      </c>
      <c r="B1298" s="7" t="str">
        <f t="shared" si="69"/>
        <v>2021025</v>
      </c>
      <c r="C1298" s="7" t="str">
        <f t="shared" si="71"/>
        <v>044</v>
      </c>
      <c r="D1298" s="7" t="str">
        <f>"06"</f>
        <v>06</v>
      </c>
      <c r="E1298" s="8">
        <v>61.9</v>
      </c>
      <c r="F1298" s="7" t="s">
        <v>7</v>
      </c>
    </row>
    <row r="1299" s="2" customFormat="1" ht="14.1" customHeight="1" spans="1:6">
      <c r="A1299" s="7" t="str">
        <f>"2102504407"</f>
        <v>2102504407</v>
      </c>
      <c r="B1299" s="7" t="str">
        <f t="shared" si="69"/>
        <v>2021025</v>
      </c>
      <c r="C1299" s="7" t="str">
        <f t="shared" si="71"/>
        <v>044</v>
      </c>
      <c r="D1299" s="7" t="str">
        <f>"07"</f>
        <v>07</v>
      </c>
      <c r="E1299" s="8">
        <v>70.1</v>
      </c>
      <c r="F1299" s="7" t="s">
        <v>7</v>
      </c>
    </row>
    <row r="1300" s="2" customFormat="1" ht="14.1" customHeight="1" spans="1:6">
      <c r="A1300" s="7" t="str">
        <f>"2102504408"</f>
        <v>2102504408</v>
      </c>
      <c r="B1300" s="7" t="str">
        <f t="shared" si="69"/>
        <v>2021025</v>
      </c>
      <c r="C1300" s="7" t="str">
        <f t="shared" si="71"/>
        <v>044</v>
      </c>
      <c r="D1300" s="7" t="str">
        <f>"08"</f>
        <v>08</v>
      </c>
      <c r="E1300" s="8">
        <v>0</v>
      </c>
      <c r="F1300" s="7" t="s">
        <v>8</v>
      </c>
    </row>
    <row r="1301" s="2" customFormat="1" ht="14.1" customHeight="1" spans="1:6">
      <c r="A1301" s="7" t="str">
        <f>"2102504409"</f>
        <v>2102504409</v>
      </c>
      <c r="B1301" s="7" t="str">
        <f t="shared" si="69"/>
        <v>2021025</v>
      </c>
      <c r="C1301" s="7" t="str">
        <f t="shared" si="71"/>
        <v>044</v>
      </c>
      <c r="D1301" s="7" t="str">
        <f>"09"</f>
        <v>09</v>
      </c>
      <c r="E1301" s="8">
        <v>63.5</v>
      </c>
      <c r="F1301" s="7" t="s">
        <v>7</v>
      </c>
    </row>
    <row r="1302" s="2" customFormat="1" ht="14.1" customHeight="1" spans="1:6">
      <c r="A1302" s="7" t="str">
        <f>"2102504410"</f>
        <v>2102504410</v>
      </c>
      <c r="B1302" s="7" t="str">
        <f t="shared" si="69"/>
        <v>2021025</v>
      </c>
      <c r="C1302" s="7" t="str">
        <f t="shared" si="71"/>
        <v>044</v>
      </c>
      <c r="D1302" s="7" t="str">
        <f>"10"</f>
        <v>10</v>
      </c>
      <c r="E1302" s="8">
        <v>0</v>
      </c>
      <c r="F1302" s="7" t="s">
        <v>8</v>
      </c>
    </row>
    <row r="1303" s="2" customFormat="1" ht="14.1" customHeight="1" spans="1:6">
      <c r="A1303" s="7" t="str">
        <f>"2102504411"</f>
        <v>2102504411</v>
      </c>
      <c r="B1303" s="7" t="str">
        <f t="shared" si="69"/>
        <v>2021025</v>
      </c>
      <c r="C1303" s="7" t="str">
        <f t="shared" si="71"/>
        <v>044</v>
      </c>
      <c r="D1303" s="7" t="str">
        <f>"11"</f>
        <v>11</v>
      </c>
      <c r="E1303" s="8">
        <v>58.1</v>
      </c>
      <c r="F1303" s="7" t="s">
        <v>7</v>
      </c>
    </row>
    <row r="1304" s="2" customFormat="1" ht="14.1" customHeight="1" spans="1:6">
      <c r="A1304" s="7" t="str">
        <f>"2102504412"</f>
        <v>2102504412</v>
      </c>
      <c r="B1304" s="7" t="str">
        <f t="shared" si="69"/>
        <v>2021025</v>
      </c>
      <c r="C1304" s="7" t="str">
        <f t="shared" si="71"/>
        <v>044</v>
      </c>
      <c r="D1304" s="7" t="str">
        <f>"12"</f>
        <v>12</v>
      </c>
      <c r="E1304" s="8">
        <v>66.2</v>
      </c>
      <c r="F1304" s="7" t="s">
        <v>7</v>
      </c>
    </row>
    <row r="1305" s="2" customFormat="1" ht="14.1" customHeight="1" spans="1:6">
      <c r="A1305" s="7" t="str">
        <f>"2102504413"</f>
        <v>2102504413</v>
      </c>
      <c r="B1305" s="7" t="str">
        <f t="shared" ref="B1305:B1314" si="72">"2021025"</f>
        <v>2021025</v>
      </c>
      <c r="C1305" s="7" t="str">
        <f t="shared" si="71"/>
        <v>044</v>
      </c>
      <c r="D1305" s="7" t="str">
        <f>"13"</f>
        <v>13</v>
      </c>
      <c r="E1305" s="8">
        <v>63.1</v>
      </c>
      <c r="F1305" s="7" t="s">
        <v>7</v>
      </c>
    </row>
    <row r="1306" s="2" customFormat="1" ht="14.1" customHeight="1" spans="1:6">
      <c r="A1306" s="7" t="str">
        <f>"2102504414"</f>
        <v>2102504414</v>
      </c>
      <c r="B1306" s="7" t="str">
        <f t="shared" si="72"/>
        <v>2021025</v>
      </c>
      <c r="C1306" s="7" t="str">
        <f t="shared" si="71"/>
        <v>044</v>
      </c>
      <c r="D1306" s="7" t="str">
        <f>"14"</f>
        <v>14</v>
      </c>
      <c r="E1306" s="8">
        <v>0</v>
      </c>
      <c r="F1306" s="7" t="s">
        <v>8</v>
      </c>
    </row>
    <row r="1307" s="2" customFormat="1" ht="14.1" customHeight="1" spans="1:6">
      <c r="A1307" s="7" t="str">
        <f>"2102504415"</f>
        <v>2102504415</v>
      </c>
      <c r="B1307" s="7" t="str">
        <f t="shared" si="72"/>
        <v>2021025</v>
      </c>
      <c r="C1307" s="7" t="str">
        <f t="shared" si="71"/>
        <v>044</v>
      </c>
      <c r="D1307" s="7" t="str">
        <f>"15"</f>
        <v>15</v>
      </c>
      <c r="E1307" s="8">
        <v>69.5</v>
      </c>
      <c r="F1307" s="7" t="s">
        <v>7</v>
      </c>
    </row>
    <row r="1308" s="2" customFormat="1" ht="14.1" customHeight="1" spans="1:6">
      <c r="A1308" s="7" t="str">
        <f>"2102504416"</f>
        <v>2102504416</v>
      </c>
      <c r="B1308" s="7" t="str">
        <f t="shared" si="72"/>
        <v>2021025</v>
      </c>
      <c r="C1308" s="7" t="str">
        <f t="shared" si="71"/>
        <v>044</v>
      </c>
      <c r="D1308" s="7" t="str">
        <f>"16"</f>
        <v>16</v>
      </c>
      <c r="E1308" s="8">
        <v>56.8</v>
      </c>
      <c r="F1308" s="7" t="s">
        <v>7</v>
      </c>
    </row>
    <row r="1309" s="2" customFormat="1" ht="14.1" customHeight="1" spans="1:6">
      <c r="A1309" s="7" t="str">
        <f>"2102504417"</f>
        <v>2102504417</v>
      </c>
      <c r="B1309" s="7" t="str">
        <f t="shared" si="72"/>
        <v>2021025</v>
      </c>
      <c r="C1309" s="7" t="str">
        <f t="shared" si="71"/>
        <v>044</v>
      </c>
      <c r="D1309" s="7" t="str">
        <f>"17"</f>
        <v>17</v>
      </c>
      <c r="E1309" s="8">
        <v>0</v>
      </c>
      <c r="F1309" s="7" t="s">
        <v>8</v>
      </c>
    </row>
    <row r="1310" s="2" customFormat="1" ht="14.1" customHeight="1" spans="1:6">
      <c r="A1310" s="7" t="str">
        <f>"2102504418"</f>
        <v>2102504418</v>
      </c>
      <c r="B1310" s="7" t="str">
        <f t="shared" si="72"/>
        <v>2021025</v>
      </c>
      <c r="C1310" s="7" t="str">
        <f t="shared" si="71"/>
        <v>044</v>
      </c>
      <c r="D1310" s="7" t="str">
        <f>"18"</f>
        <v>18</v>
      </c>
      <c r="E1310" s="8">
        <v>68.7</v>
      </c>
      <c r="F1310" s="7" t="s">
        <v>7</v>
      </c>
    </row>
    <row r="1311" s="2" customFormat="1" ht="14.1" customHeight="1" spans="1:6">
      <c r="A1311" s="7" t="str">
        <f>"2102504419"</f>
        <v>2102504419</v>
      </c>
      <c r="B1311" s="7" t="str">
        <f t="shared" si="72"/>
        <v>2021025</v>
      </c>
      <c r="C1311" s="7" t="str">
        <f t="shared" si="71"/>
        <v>044</v>
      </c>
      <c r="D1311" s="7" t="str">
        <f>"19"</f>
        <v>19</v>
      </c>
      <c r="E1311" s="8">
        <v>59.7</v>
      </c>
      <c r="F1311" s="7" t="s">
        <v>7</v>
      </c>
    </row>
    <row r="1312" s="2" customFormat="1" ht="14.1" customHeight="1" spans="1:6">
      <c r="A1312" s="7" t="str">
        <f>"2102504420"</f>
        <v>2102504420</v>
      </c>
      <c r="B1312" s="7" t="str">
        <f t="shared" si="72"/>
        <v>2021025</v>
      </c>
      <c r="C1312" s="7" t="str">
        <f t="shared" si="71"/>
        <v>044</v>
      </c>
      <c r="D1312" s="7" t="str">
        <f>"20"</f>
        <v>20</v>
      </c>
      <c r="E1312" s="8">
        <v>67.8</v>
      </c>
      <c r="F1312" s="7" t="s">
        <v>7</v>
      </c>
    </row>
    <row r="1313" s="2" customFormat="1" ht="14.1" customHeight="1" spans="1:6">
      <c r="A1313" s="7" t="str">
        <f>"2102504421"</f>
        <v>2102504421</v>
      </c>
      <c r="B1313" s="7" t="str">
        <f t="shared" si="72"/>
        <v>2021025</v>
      </c>
      <c r="C1313" s="7" t="str">
        <f t="shared" si="71"/>
        <v>044</v>
      </c>
      <c r="D1313" s="7" t="str">
        <f>"21"</f>
        <v>21</v>
      </c>
      <c r="E1313" s="8">
        <v>68.6</v>
      </c>
      <c r="F1313" s="7" t="s">
        <v>7</v>
      </c>
    </row>
    <row r="1314" s="2" customFormat="1" ht="14.1" customHeight="1" spans="1:6">
      <c r="A1314" s="7" t="str">
        <f>"2102504422"</f>
        <v>2102504422</v>
      </c>
      <c r="B1314" s="7" t="str">
        <f t="shared" si="72"/>
        <v>2021025</v>
      </c>
      <c r="C1314" s="7" t="str">
        <f t="shared" si="71"/>
        <v>044</v>
      </c>
      <c r="D1314" s="7" t="str">
        <f>"22"</f>
        <v>22</v>
      </c>
      <c r="E1314" s="8">
        <v>45.8</v>
      </c>
      <c r="F1314" s="7" t="s">
        <v>7</v>
      </c>
    </row>
    <row r="1315" s="2" customFormat="1" ht="14.1" customHeight="1" spans="1:6">
      <c r="A1315" s="7" t="str">
        <f>"2102604423"</f>
        <v>2102604423</v>
      </c>
      <c r="B1315" s="7" t="str">
        <f t="shared" ref="B1315:B1378" si="73">"2021026"</f>
        <v>2021026</v>
      </c>
      <c r="C1315" s="7" t="str">
        <f t="shared" si="71"/>
        <v>044</v>
      </c>
      <c r="D1315" s="7" t="str">
        <f>"23"</f>
        <v>23</v>
      </c>
      <c r="E1315" s="8">
        <v>45</v>
      </c>
      <c r="F1315" s="7" t="s">
        <v>7</v>
      </c>
    </row>
    <row r="1316" s="2" customFormat="1" ht="14.1" customHeight="1" spans="1:6">
      <c r="A1316" s="7" t="str">
        <f>"2102604424"</f>
        <v>2102604424</v>
      </c>
      <c r="B1316" s="7" t="str">
        <f t="shared" si="73"/>
        <v>2021026</v>
      </c>
      <c r="C1316" s="7" t="str">
        <f t="shared" si="71"/>
        <v>044</v>
      </c>
      <c r="D1316" s="7" t="str">
        <f>"24"</f>
        <v>24</v>
      </c>
      <c r="E1316" s="8">
        <v>50.9</v>
      </c>
      <c r="F1316" s="7" t="s">
        <v>7</v>
      </c>
    </row>
    <row r="1317" s="2" customFormat="1" ht="14.1" customHeight="1" spans="1:6">
      <c r="A1317" s="7" t="str">
        <f>"2102604425"</f>
        <v>2102604425</v>
      </c>
      <c r="B1317" s="7" t="str">
        <f t="shared" si="73"/>
        <v>2021026</v>
      </c>
      <c r="C1317" s="7" t="str">
        <f t="shared" si="71"/>
        <v>044</v>
      </c>
      <c r="D1317" s="7" t="str">
        <f>"25"</f>
        <v>25</v>
      </c>
      <c r="E1317" s="8">
        <v>58.6</v>
      </c>
      <c r="F1317" s="7" t="s">
        <v>7</v>
      </c>
    </row>
    <row r="1318" s="2" customFormat="1" ht="14.1" customHeight="1" spans="1:6">
      <c r="A1318" s="7" t="str">
        <f>"2102604426"</f>
        <v>2102604426</v>
      </c>
      <c r="B1318" s="7" t="str">
        <f t="shared" si="73"/>
        <v>2021026</v>
      </c>
      <c r="C1318" s="7" t="str">
        <f t="shared" si="71"/>
        <v>044</v>
      </c>
      <c r="D1318" s="7" t="str">
        <f>"26"</f>
        <v>26</v>
      </c>
      <c r="E1318" s="8">
        <v>0</v>
      </c>
      <c r="F1318" s="7" t="s">
        <v>8</v>
      </c>
    </row>
    <row r="1319" s="2" customFormat="1" ht="14.1" customHeight="1" spans="1:6">
      <c r="A1319" s="7" t="str">
        <f>"2102604427"</f>
        <v>2102604427</v>
      </c>
      <c r="B1319" s="7" t="str">
        <f t="shared" si="73"/>
        <v>2021026</v>
      </c>
      <c r="C1319" s="7" t="str">
        <f t="shared" si="71"/>
        <v>044</v>
      </c>
      <c r="D1319" s="7" t="str">
        <f>"27"</f>
        <v>27</v>
      </c>
      <c r="E1319" s="8">
        <v>51.1</v>
      </c>
      <c r="F1319" s="7" t="s">
        <v>7</v>
      </c>
    </row>
    <row r="1320" s="2" customFormat="1" ht="14.1" customHeight="1" spans="1:6">
      <c r="A1320" s="7" t="str">
        <f>"2102604428"</f>
        <v>2102604428</v>
      </c>
      <c r="B1320" s="7" t="str">
        <f t="shared" si="73"/>
        <v>2021026</v>
      </c>
      <c r="C1320" s="7" t="str">
        <f t="shared" si="71"/>
        <v>044</v>
      </c>
      <c r="D1320" s="7" t="str">
        <f>"28"</f>
        <v>28</v>
      </c>
      <c r="E1320" s="8">
        <v>55.2</v>
      </c>
      <c r="F1320" s="7" t="s">
        <v>7</v>
      </c>
    </row>
    <row r="1321" s="2" customFormat="1" ht="14.1" customHeight="1" spans="1:6">
      <c r="A1321" s="7" t="str">
        <f>"2102604429"</f>
        <v>2102604429</v>
      </c>
      <c r="B1321" s="7" t="str">
        <f t="shared" si="73"/>
        <v>2021026</v>
      </c>
      <c r="C1321" s="7" t="str">
        <f t="shared" si="71"/>
        <v>044</v>
      </c>
      <c r="D1321" s="7" t="str">
        <f>"29"</f>
        <v>29</v>
      </c>
      <c r="E1321" s="8">
        <v>67.6</v>
      </c>
      <c r="F1321" s="7" t="s">
        <v>7</v>
      </c>
    </row>
    <row r="1322" s="2" customFormat="1" ht="14.1" customHeight="1" spans="1:6">
      <c r="A1322" s="7" t="str">
        <f>"2102604430"</f>
        <v>2102604430</v>
      </c>
      <c r="B1322" s="7" t="str">
        <f t="shared" si="73"/>
        <v>2021026</v>
      </c>
      <c r="C1322" s="7" t="str">
        <f t="shared" si="71"/>
        <v>044</v>
      </c>
      <c r="D1322" s="7" t="str">
        <f>"30"</f>
        <v>30</v>
      </c>
      <c r="E1322" s="8">
        <v>64.9</v>
      </c>
      <c r="F1322" s="7" t="s">
        <v>7</v>
      </c>
    </row>
    <row r="1323" s="2" customFormat="1" ht="14.1" customHeight="1" spans="1:6">
      <c r="A1323" s="7" t="str">
        <f>"2102604501"</f>
        <v>2102604501</v>
      </c>
      <c r="B1323" s="7" t="str">
        <f t="shared" si="73"/>
        <v>2021026</v>
      </c>
      <c r="C1323" s="7" t="str">
        <f t="shared" ref="C1323:C1352" si="74">"045"</f>
        <v>045</v>
      </c>
      <c r="D1323" s="7" t="str">
        <f>"01"</f>
        <v>01</v>
      </c>
      <c r="E1323" s="8">
        <v>0</v>
      </c>
      <c r="F1323" s="7" t="s">
        <v>8</v>
      </c>
    </row>
    <row r="1324" s="2" customFormat="1" ht="14.1" customHeight="1" spans="1:6">
      <c r="A1324" s="7" t="str">
        <f>"2102604502"</f>
        <v>2102604502</v>
      </c>
      <c r="B1324" s="7" t="str">
        <f t="shared" si="73"/>
        <v>2021026</v>
      </c>
      <c r="C1324" s="7" t="str">
        <f t="shared" si="74"/>
        <v>045</v>
      </c>
      <c r="D1324" s="7" t="str">
        <f>"02"</f>
        <v>02</v>
      </c>
      <c r="E1324" s="8">
        <v>66</v>
      </c>
      <c r="F1324" s="7" t="s">
        <v>7</v>
      </c>
    </row>
    <row r="1325" s="2" customFormat="1" ht="14.1" customHeight="1" spans="1:6">
      <c r="A1325" s="7" t="str">
        <f>"2102604503"</f>
        <v>2102604503</v>
      </c>
      <c r="B1325" s="7" t="str">
        <f t="shared" si="73"/>
        <v>2021026</v>
      </c>
      <c r="C1325" s="7" t="str">
        <f t="shared" si="74"/>
        <v>045</v>
      </c>
      <c r="D1325" s="7" t="str">
        <f>"03"</f>
        <v>03</v>
      </c>
      <c r="E1325" s="8">
        <v>70.7</v>
      </c>
      <c r="F1325" s="7" t="s">
        <v>7</v>
      </c>
    </row>
    <row r="1326" s="2" customFormat="1" ht="14.1" customHeight="1" spans="1:6">
      <c r="A1326" s="7" t="str">
        <f>"2102604504"</f>
        <v>2102604504</v>
      </c>
      <c r="B1326" s="7" t="str">
        <f t="shared" si="73"/>
        <v>2021026</v>
      </c>
      <c r="C1326" s="7" t="str">
        <f t="shared" si="74"/>
        <v>045</v>
      </c>
      <c r="D1326" s="7" t="str">
        <f>"04"</f>
        <v>04</v>
      </c>
      <c r="E1326" s="8">
        <v>56.1</v>
      </c>
      <c r="F1326" s="7" t="s">
        <v>7</v>
      </c>
    </row>
    <row r="1327" s="2" customFormat="1" ht="14.1" customHeight="1" spans="1:6">
      <c r="A1327" s="7" t="str">
        <f>"2102604505"</f>
        <v>2102604505</v>
      </c>
      <c r="B1327" s="7" t="str">
        <f t="shared" si="73"/>
        <v>2021026</v>
      </c>
      <c r="C1327" s="7" t="str">
        <f t="shared" si="74"/>
        <v>045</v>
      </c>
      <c r="D1327" s="7" t="str">
        <f>"05"</f>
        <v>05</v>
      </c>
      <c r="E1327" s="8">
        <v>0</v>
      </c>
      <c r="F1327" s="7" t="s">
        <v>8</v>
      </c>
    </row>
    <row r="1328" s="2" customFormat="1" ht="14.1" customHeight="1" spans="1:6">
      <c r="A1328" s="7" t="str">
        <f>"2102604506"</f>
        <v>2102604506</v>
      </c>
      <c r="B1328" s="7" t="str">
        <f t="shared" si="73"/>
        <v>2021026</v>
      </c>
      <c r="C1328" s="7" t="str">
        <f t="shared" si="74"/>
        <v>045</v>
      </c>
      <c r="D1328" s="7" t="str">
        <f>"06"</f>
        <v>06</v>
      </c>
      <c r="E1328" s="8">
        <v>61.4</v>
      </c>
      <c r="F1328" s="7" t="s">
        <v>7</v>
      </c>
    </row>
    <row r="1329" s="2" customFormat="1" ht="14.1" customHeight="1" spans="1:6">
      <c r="A1329" s="7" t="str">
        <f>"2102604507"</f>
        <v>2102604507</v>
      </c>
      <c r="B1329" s="7" t="str">
        <f t="shared" si="73"/>
        <v>2021026</v>
      </c>
      <c r="C1329" s="7" t="str">
        <f t="shared" si="74"/>
        <v>045</v>
      </c>
      <c r="D1329" s="7" t="str">
        <f>"07"</f>
        <v>07</v>
      </c>
      <c r="E1329" s="8">
        <v>61.4</v>
      </c>
      <c r="F1329" s="7" t="s">
        <v>7</v>
      </c>
    </row>
    <row r="1330" s="2" customFormat="1" ht="14.1" customHeight="1" spans="1:6">
      <c r="A1330" s="7" t="str">
        <f>"2102604508"</f>
        <v>2102604508</v>
      </c>
      <c r="B1330" s="7" t="str">
        <f t="shared" si="73"/>
        <v>2021026</v>
      </c>
      <c r="C1330" s="7" t="str">
        <f t="shared" si="74"/>
        <v>045</v>
      </c>
      <c r="D1330" s="7" t="str">
        <f>"08"</f>
        <v>08</v>
      </c>
      <c r="E1330" s="8">
        <v>53.6</v>
      </c>
      <c r="F1330" s="7" t="s">
        <v>7</v>
      </c>
    </row>
    <row r="1331" s="2" customFormat="1" ht="14.1" customHeight="1" spans="1:6">
      <c r="A1331" s="7" t="str">
        <f>"2102604509"</f>
        <v>2102604509</v>
      </c>
      <c r="B1331" s="7" t="str">
        <f t="shared" si="73"/>
        <v>2021026</v>
      </c>
      <c r="C1331" s="7" t="str">
        <f t="shared" si="74"/>
        <v>045</v>
      </c>
      <c r="D1331" s="7" t="str">
        <f>"09"</f>
        <v>09</v>
      </c>
      <c r="E1331" s="8">
        <v>58.4</v>
      </c>
      <c r="F1331" s="7" t="s">
        <v>7</v>
      </c>
    </row>
    <row r="1332" s="2" customFormat="1" ht="14.1" customHeight="1" spans="1:6">
      <c r="A1332" s="7" t="str">
        <f>"2102604510"</f>
        <v>2102604510</v>
      </c>
      <c r="B1332" s="7" t="str">
        <f t="shared" si="73"/>
        <v>2021026</v>
      </c>
      <c r="C1332" s="7" t="str">
        <f t="shared" si="74"/>
        <v>045</v>
      </c>
      <c r="D1332" s="7" t="str">
        <f>"10"</f>
        <v>10</v>
      </c>
      <c r="E1332" s="8">
        <v>0</v>
      </c>
      <c r="F1332" s="7" t="s">
        <v>8</v>
      </c>
    </row>
    <row r="1333" s="2" customFormat="1" ht="14.1" customHeight="1" spans="1:6">
      <c r="A1333" s="7" t="str">
        <f>"2102604511"</f>
        <v>2102604511</v>
      </c>
      <c r="B1333" s="7" t="str">
        <f t="shared" si="73"/>
        <v>2021026</v>
      </c>
      <c r="C1333" s="7" t="str">
        <f t="shared" si="74"/>
        <v>045</v>
      </c>
      <c r="D1333" s="7" t="str">
        <f>"11"</f>
        <v>11</v>
      </c>
      <c r="E1333" s="8">
        <v>66.5</v>
      </c>
      <c r="F1333" s="7" t="s">
        <v>7</v>
      </c>
    </row>
    <row r="1334" s="2" customFormat="1" ht="14.1" customHeight="1" spans="1:6">
      <c r="A1334" s="7" t="str">
        <f>"2102604512"</f>
        <v>2102604512</v>
      </c>
      <c r="B1334" s="7" t="str">
        <f t="shared" si="73"/>
        <v>2021026</v>
      </c>
      <c r="C1334" s="7" t="str">
        <f t="shared" si="74"/>
        <v>045</v>
      </c>
      <c r="D1334" s="7" t="str">
        <f>"12"</f>
        <v>12</v>
      </c>
      <c r="E1334" s="8">
        <v>0</v>
      </c>
      <c r="F1334" s="7" t="s">
        <v>8</v>
      </c>
    </row>
    <row r="1335" s="2" customFormat="1" ht="14.1" customHeight="1" spans="1:6">
      <c r="A1335" s="7" t="str">
        <f>"2102604513"</f>
        <v>2102604513</v>
      </c>
      <c r="B1335" s="7" t="str">
        <f t="shared" si="73"/>
        <v>2021026</v>
      </c>
      <c r="C1335" s="7" t="str">
        <f t="shared" si="74"/>
        <v>045</v>
      </c>
      <c r="D1335" s="7" t="str">
        <f>"13"</f>
        <v>13</v>
      </c>
      <c r="E1335" s="8">
        <v>71.1</v>
      </c>
      <c r="F1335" s="7" t="s">
        <v>7</v>
      </c>
    </row>
    <row r="1336" s="2" customFormat="1" ht="14.1" customHeight="1" spans="1:6">
      <c r="A1336" s="7" t="str">
        <f>"2102604514"</f>
        <v>2102604514</v>
      </c>
      <c r="B1336" s="7" t="str">
        <f t="shared" si="73"/>
        <v>2021026</v>
      </c>
      <c r="C1336" s="7" t="str">
        <f t="shared" si="74"/>
        <v>045</v>
      </c>
      <c r="D1336" s="7" t="str">
        <f>"14"</f>
        <v>14</v>
      </c>
      <c r="E1336" s="8">
        <v>60.6</v>
      </c>
      <c r="F1336" s="7" t="s">
        <v>7</v>
      </c>
    </row>
    <row r="1337" s="2" customFormat="1" ht="14.1" customHeight="1" spans="1:6">
      <c r="A1337" s="7" t="str">
        <f>"2102604515"</f>
        <v>2102604515</v>
      </c>
      <c r="B1337" s="7" t="str">
        <f t="shared" si="73"/>
        <v>2021026</v>
      </c>
      <c r="C1337" s="7" t="str">
        <f t="shared" si="74"/>
        <v>045</v>
      </c>
      <c r="D1337" s="7" t="str">
        <f>"15"</f>
        <v>15</v>
      </c>
      <c r="E1337" s="8">
        <v>59</v>
      </c>
      <c r="F1337" s="7" t="s">
        <v>7</v>
      </c>
    </row>
    <row r="1338" s="2" customFormat="1" ht="14.1" customHeight="1" spans="1:6">
      <c r="A1338" s="7" t="str">
        <f>"2102604516"</f>
        <v>2102604516</v>
      </c>
      <c r="B1338" s="7" t="str">
        <f t="shared" si="73"/>
        <v>2021026</v>
      </c>
      <c r="C1338" s="7" t="str">
        <f t="shared" si="74"/>
        <v>045</v>
      </c>
      <c r="D1338" s="7" t="str">
        <f>"16"</f>
        <v>16</v>
      </c>
      <c r="E1338" s="8">
        <v>56</v>
      </c>
      <c r="F1338" s="7" t="s">
        <v>7</v>
      </c>
    </row>
    <row r="1339" s="2" customFormat="1" ht="14.1" customHeight="1" spans="1:6">
      <c r="A1339" s="7" t="str">
        <f>"2102604517"</f>
        <v>2102604517</v>
      </c>
      <c r="B1339" s="7" t="str">
        <f t="shared" si="73"/>
        <v>2021026</v>
      </c>
      <c r="C1339" s="7" t="str">
        <f t="shared" si="74"/>
        <v>045</v>
      </c>
      <c r="D1339" s="7" t="str">
        <f>"17"</f>
        <v>17</v>
      </c>
      <c r="E1339" s="8">
        <v>56.4</v>
      </c>
      <c r="F1339" s="7" t="s">
        <v>7</v>
      </c>
    </row>
    <row r="1340" s="2" customFormat="1" ht="14.1" customHeight="1" spans="1:6">
      <c r="A1340" s="7" t="str">
        <f>"2102604518"</f>
        <v>2102604518</v>
      </c>
      <c r="B1340" s="7" t="str">
        <f t="shared" si="73"/>
        <v>2021026</v>
      </c>
      <c r="C1340" s="7" t="str">
        <f t="shared" si="74"/>
        <v>045</v>
      </c>
      <c r="D1340" s="7" t="str">
        <f>"18"</f>
        <v>18</v>
      </c>
      <c r="E1340" s="8">
        <v>0</v>
      </c>
      <c r="F1340" s="7" t="s">
        <v>8</v>
      </c>
    </row>
    <row r="1341" s="2" customFormat="1" ht="14.1" customHeight="1" spans="1:6">
      <c r="A1341" s="7" t="str">
        <f>"2102604519"</f>
        <v>2102604519</v>
      </c>
      <c r="B1341" s="7" t="str">
        <f t="shared" si="73"/>
        <v>2021026</v>
      </c>
      <c r="C1341" s="7" t="str">
        <f t="shared" si="74"/>
        <v>045</v>
      </c>
      <c r="D1341" s="7" t="str">
        <f>"19"</f>
        <v>19</v>
      </c>
      <c r="E1341" s="8">
        <v>59.4</v>
      </c>
      <c r="F1341" s="7" t="s">
        <v>7</v>
      </c>
    </row>
    <row r="1342" s="2" customFormat="1" ht="14.1" customHeight="1" spans="1:6">
      <c r="A1342" s="7" t="str">
        <f>"2102604520"</f>
        <v>2102604520</v>
      </c>
      <c r="B1342" s="7" t="str">
        <f t="shared" si="73"/>
        <v>2021026</v>
      </c>
      <c r="C1342" s="7" t="str">
        <f t="shared" si="74"/>
        <v>045</v>
      </c>
      <c r="D1342" s="7" t="str">
        <f>"20"</f>
        <v>20</v>
      </c>
      <c r="E1342" s="8">
        <v>63.2</v>
      </c>
      <c r="F1342" s="7" t="s">
        <v>7</v>
      </c>
    </row>
    <row r="1343" s="2" customFormat="1" ht="14.1" customHeight="1" spans="1:6">
      <c r="A1343" s="7" t="str">
        <f>"2102604521"</f>
        <v>2102604521</v>
      </c>
      <c r="B1343" s="7" t="str">
        <f t="shared" si="73"/>
        <v>2021026</v>
      </c>
      <c r="C1343" s="7" t="str">
        <f t="shared" si="74"/>
        <v>045</v>
      </c>
      <c r="D1343" s="7" t="str">
        <f>"21"</f>
        <v>21</v>
      </c>
      <c r="E1343" s="8">
        <v>65.3</v>
      </c>
      <c r="F1343" s="7" t="s">
        <v>7</v>
      </c>
    </row>
    <row r="1344" s="2" customFormat="1" ht="14.1" customHeight="1" spans="1:6">
      <c r="A1344" s="7" t="str">
        <f>"2102604522"</f>
        <v>2102604522</v>
      </c>
      <c r="B1344" s="7" t="str">
        <f t="shared" si="73"/>
        <v>2021026</v>
      </c>
      <c r="C1344" s="7" t="str">
        <f t="shared" si="74"/>
        <v>045</v>
      </c>
      <c r="D1344" s="7" t="str">
        <f>"22"</f>
        <v>22</v>
      </c>
      <c r="E1344" s="8">
        <v>57.9</v>
      </c>
      <c r="F1344" s="7" t="s">
        <v>7</v>
      </c>
    </row>
    <row r="1345" s="2" customFormat="1" ht="14.1" customHeight="1" spans="1:6">
      <c r="A1345" s="7" t="str">
        <f>"2102604523"</f>
        <v>2102604523</v>
      </c>
      <c r="B1345" s="7" t="str">
        <f t="shared" si="73"/>
        <v>2021026</v>
      </c>
      <c r="C1345" s="7" t="str">
        <f t="shared" si="74"/>
        <v>045</v>
      </c>
      <c r="D1345" s="7" t="str">
        <f>"23"</f>
        <v>23</v>
      </c>
      <c r="E1345" s="8">
        <v>61.1</v>
      </c>
      <c r="F1345" s="7" t="s">
        <v>7</v>
      </c>
    </row>
    <row r="1346" s="2" customFormat="1" ht="14.1" customHeight="1" spans="1:6">
      <c r="A1346" s="7" t="str">
        <f>"2102604524"</f>
        <v>2102604524</v>
      </c>
      <c r="B1346" s="7" t="str">
        <f t="shared" si="73"/>
        <v>2021026</v>
      </c>
      <c r="C1346" s="7" t="str">
        <f t="shared" si="74"/>
        <v>045</v>
      </c>
      <c r="D1346" s="7" t="str">
        <f>"24"</f>
        <v>24</v>
      </c>
      <c r="E1346" s="8">
        <v>56.6</v>
      </c>
      <c r="F1346" s="7" t="s">
        <v>7</v>
      </c>
    </row>
    <row r="1347" s="2" customFormat="1" ht="14.1" customHeight="1" spans="1:6">
      <c r="A1347" s="7" t="str">
        <f>"2102604525"</f>
        <v>2102604525</v>
      </c>
      <c r="B1347" s="7" t="str">
        <f t="shared" si="73"/>
        <v>2021026</v>
      </c>
      <c r="C1347" s="7" t="str">
        <f t="shared" si="74"/>
        <v>045</v>
      </c>
      <c r="D1347" s="7" t="str">
        <f>"25"</f>
        <v>25</v>
      </c>
      <c r="E1347" s="8">
        <v>47</v>
      </c>
      <c r="F1347" s="7" t="s">
        <v>7</v>
      </c>
    </row>
    <row r="1348" s="2" customFormat="1" ht="14.1" customHeight="1" spans="1:6">
      <c r="A1348" s="7" t="str">
        <f>"2102604526"</f>
        <v>2102604526</v>
      </c>
      <c r="B1348" s="7" t="str">
        <f t="shared" si="73"/>
        <v>2021026</v>
      </c>
      <c r="C1348" s="7" t="str">
        <f t="shared" si="74"/>
        <v>045</v>
      </c>
      <c r="D1348" s="7" t="str">
        <f>"26"</f>
        <v>26</v>
      </c>
      <c r="E1348" s="8">
        <v>0</v>
      </c>
      <c r="F1348" s="7" t="s">
        <v>8</v>
      </c>
    </row>
    <row r="1349" s="2" customFormat="1" ht="14.1" customHeight="1" spans="1:6">
      <c r="A1349" s="7" t="str">
        <f>"2102604527"</f>
        <v>2102604527</v>
      </c>
      <c r="B1349" s="7" t="str">
        <f t="shared" si="73"/>
        <v>2021026</v>
      </c>
      <c r="C1349" s="7" t="str">
        <f t="shared" si="74"/>
        <v>045</v>
      </c>
      <c r="D1349" s="7" t="str">
        <f>"27"</f>
        <v>27</v>
      </c>
      <c r="E1349" s="8">
        <v>53.7</v>
      </c>
      <c r="F1349" s="7" t="s">
        <v>7</v>
      </c>
    </row>
    <row r="1350" s="2" customFormat="1" ht="14.1" customHeight="1" spans="1:6">
      <c r="A1350" s="7" t="str">
        <f>"2102604528"</f>
        <v>2102604528</v>
      </c>
      <c r="B1350" s="7" t="str">
        <f t="shared" si="73"/>
        <v>2021026</v>
      </c>
      <c r="C1350" s="7" t="str">
        <f t="shared" si="74"/>
        <v>045</v>
      </c>
      <c r="D1350" s="7" t="str">
        <f>"28"</f>
        <v>28</v>
      </c>
      <c r="E1350" s="8">
        <v>0</v>
      </c>
      <c r="F1350" s="7" t="s">
        <v>8</v>
      </c>
    </row>
    <row r="1351" s="2" customFormat="1" ht="14.1" customHeight="1" spans="1:6">
      <c r="A1351" s="7" t="str">
        <f>"2102604529"</f>
        <v>2102604529</v>
      </c>
      <c r="B1351" s="7" t="str">
        <f t="shared" si="73"/>
        <v>2021026</v>
      </c>
      <c r="C1351" s="7" t="str">
        <f t="shared" si="74"/>
        <v>045</v>
      </c>
      <c r="D1351" s="7" t="str">
        <f>"29"</f>
        <v>29</v>
      </c>
      <c r="E1351" s="8">
        <v>62.4</v>
      </c>
      <c r="F1351" s="7" t="s">
        <v>7</v>
      </c>
    </row>
    <row r="1352" s="2" customFormat="1" ht="14.1" customHeight="1" spans="1:6">
      <c r="A1352" s="7" t="str">
        <f>"2102604530"</f>
        <v>2102604530</v>
      </c>
      <c r="B1352" s="7" t="str">
        <f t="shared" si="73"/>
        <v>2021026</v>
      </c>
      <c r="C1352" s="7" t="str">
        <f t="shared" si="74"/>
        <v>045</v>
      </c>
      <c r="D1352" s="7" t="str">
        <f>"30"</f>
        <v>30</v>
      </c>
      <c r="E1352" s="8">
        <v>0</v>
      </c>
      <c r="F1352" s="7" t="s">
        <v>8</v>
      </c>
    </row>
    <row r="1353" s="2" customFormat="1" ht="14.1" customHeight="1" spans="1:6">
      <c r="A1353" s="7" t="str">
        <f>"2102604601"</f>
        <v>2102604601</v>
      </c>
      <c r="B1353" s="7" t="str">
        <f t="shared" si="73"/>
        <v>2021026</v>
      </c>
      <c r="C1353" s="7" t="str">
        <f t="shared" ref="C1353:C1382" si="75">"046"</f>
        <v>046</v>
      </c>
      <c r="D1353" s="7" t="str">
        <f>"01"</f>
        <v>01</v>
      </c>
      <c r="E1353" s="8">
        <v>61.8</v>
      </c>
      <c r="F1353" s="7" t="s">
        <v>7</v>
      </c>
    </row>
    <row r="1354" s="2" customFormat="1" ht="14.1" customHeight="1" spans="1:6">
      <c r="A1354" s="7" t="str">
        <f>"2102604602"</f>
        <v>2102604602</v>
      </c>
      <c r="B1354" s="7" t="str">
        <f t="shared" si="73"/>
        <v>2021026</v>
      </c>
      <c r="C1354" s="7" t="str">
        <f t="shared" si="75"/>
        <v>046</v>
      </c>
      <c r="D1354" s="7" t="str">
        <f>"02"</f>
        <v>02</v>
      </c>
      <c r="E1354" s="8">
        <v>0</v>
      </c>
      <c r="F1354" s="7" t="s">
        <v>8</v>
      </c>
    </row>
    <row r="1355" s="2" customFormat="1" ht="14.1" customHeight="1" spans="1:6">
      <c r="A1355" s="7" t="str">
        <f>"2102604603"</f>
        <v>2102604603</v>
      </c>
      <c r="B1355" s="7" t="str">
        <f t="shared" si="73"/>
        <v>2021026</v>
      </c>
      <c r="C1355" s="7" t="str">
        <f t="shared" si="75"/>
        <v>046</v>
      </c>
      <c r="D1355" s="7" t="str">
        <f>"03"</f>
        <v>03</v>
      </c>
      <c r="E1355" s="8">
        <v>0</v>
      </c>
      <c r="F1355" s="7" t="s">
        <v>8</v>
      </c>
    </row>
    <row r="1356" s="2" customFormat="1" ht="14.1" customHeight="1" spans="1:6">
      <c r="A1356" s="7" t="str">
        <f>"2102604604"</f>
        <v>2102604604</v>
      </c>
      <c r="B1356" s="7" t="str">
        <f t="shared" si="73"/>
        <v>2021026</v>
      </c>
      <c r="C1356" s="7" t="str">
        <f t="shared" si="75"/>
        <v>046</v>
      </c>
      <c r="D1356" s="7" t="str">
        <f>"04"</f>
        <v>04</v>
      </c>
      <c r="E1356" s="8">
        <v>54.8</v>
      </c>
      <c r="F1356" s="7" t="s">
        <v>7</v>
      </c>
    </row>
    <row r="1357" s="2" customFormat="1" ht="14.1" customHeight="1" spans="1:6">
      <c r="A1357" s="7" t="str">
        <f>"2102604605"</f>
        <v>2102604605</v>
      </c>
      <c r="B1357" s="7" t="str">
        <f t="shared" si="73"/>
        <v>2021026</v>
      </c>
      <c r="C1357" s="7" t="str">
        <f t="shared" si="75"/>
        <v>046</v>
      </c>
      <c r="D1357" s="7" t="str">
        <f>"05"</f>
        <v>05</v>
      </c>
      <c r="E1357" s="8">
        <v>59.5</v>
      </c>
      <c r="F1357" s="7" t="s">
        <v>7</v>
      </c>
    </row>
    <row r="1358" s="2" customFormat="1" ht="14.1" customHeight="1" spans="1:6">
      <c r="A1358" s="7" t="str">
        <f>"2102604606"</f>
        <v>2102604606</v>
      </c>
      <c r="B1358" s="7" t="str">
        <f t="shared" si="73"/>
        <v>2021026</v>
      </c>
      <c r="C1358" s="7" t="str">
        <f t="shared" si="75"/>
        <v>046</v>
      </c>
      <c r="D1358" s="7" t="str">
        <f>"06"</f>
        <v>06</v>
      </c>
      <c r="E1358" s="8">
        <v>58.8</v>
      </c>
      <c r="F1358" s="7" t="s">
        <v>7</v>
      </c>
    </row>
    <row r="1359" s="2" customFormat="1" ht="14.1" customHeight="1" spans="1:6">
      <c r="A1359" s="7" t="str">
        <f>"2102604607"</f>
        <v>2102604607</v>
      </c>
      <c r="B1359" s="7" t="str">
        <f t="shared" si="73"/>
        <v>2021026</v>
      </c>
      <c r="C1359" s="7" t="str">
        <f t="shared" si="75"/>
        <v>046</v>
      </c>
      <c r="D1359" s="7" t="str">
        <f>"07"</f>
        <v>07</v>
      </c>
      <c r="E1359" s="8">
        <v>55.9</v>
      </c>
      <c r="F1359" s="7" t="s">
        <v>7</v>
      </c>
    </row>
    <row r="1360" s="2" customFormat="1" ht="14.1" customHeight="1" spans="1:6">
      <c r="A1360" s="7" t="str">
        <f>"2102604608"</f>
        <v>2102604608</v>
      </c>
      <c r="B1360" s="7" t="str">
        <f t="shared" si="73"/>
        <v>2021026</v>
      </c>
      <c r="C1360" s="7" t="str">
        <f t="shared" si="75"/>
        <v>046</v>
      </c>
      <c r="D1360" s="7" t="str">
        <f>"08"</f>
        <v>08</v>
      </c>
      <c r="E1360" s="8">
        <v>58.2</v>
      </c>
      <c r="F1360" s="7" t="s">
        <v>7</v>
      </c>
    </row>
    <row r="1361" s="2" customFormat="1" ht="14.1" customHeight="1" spans="1:6">
      <c r="A1361" s="7" t="str">
        <f>"2102604609"</f>
        <v>2102604609</v>
      </c>
      <c r="B1361" s="7" t="str">
        <f t="shared" si="73"/>
        <v>2021026</v>
      </c>
      <c r="C1361" s="7" t="str">
        <f t="shared" si="75"/>
        <v>046</v>
      </c>
      <c r="D1361" s="7" t="str">
        <f>"09"</f>
        <v>09</v>
      </c>
      <c r="E1361" s="8">
        <v>0</v>
      </c>
      <c r="F1361" s="7" t="s">
        <v>8</v>
      </c>
    </row>
    <row r="1362" s="2" customFormat="1" ht="14.1" customHeight="1" spans="1:6">
      <c r="A1362" s="7" t="str">
        <f>"2102604610"</f>
        <v>2102604610</v>
      </c>
      <c r="B1362" s="7" t="str">
        <f t="shared" si="73"/>
        <v>2021026</v>
      </c>
      <c r="C1362" s="7" t="str">
        <f t="shared" si="75"/>
        <v>046</v>
      </c>
      <c r="D1362" s="7" t="str">
        <f>"10"</f>
        <v>10</v>
      </c>
      <c r="E1362" s="8">
        <v>61.2</v>
      </c>
      <c r="F1362" s="7" t="s">
        <v>7</v>
      </c>
    </row>
    <row r="1363" s="2" customFormat="1" ht="14.1" customHeight="1" spans="1:6">
      <c r="A1363" s="7" t="str">
        <f>"2102604611"</f>
        <v>2102604611</v>
      </c>
      <c r="B1363" s="7" t="str">
        <f t="shared" si="73"/>
        <v>2021026</v>
      </c>
      <c r="C1363" s="7" t="str">
        <f t="shared" si="75"/>
        <v>046</v>
      </c>
      <c r="D1363" s="7" t="str">
        <f>"11"</f>
        <v>11</v>
      </c>
      <c r="E1363" s="8">
        <v>0</v>
      </c>
      <c r="F1363" s="7" t="s">
        <v>8</v>
      </c>
    </row>
    <row r="1364" s="2" customFormat="1" ht="14.1" customHeight="1" spans="1:6">
      <c r="A1364" s="7" t="str">
        <f>"2102604612"</f>
        <v>2102604612</v>
      </c>
      <c r="B1364" s="7" t="str">
        <f t="shared" si="73"/>
        <v>2021026</v>
      </c>
      <c r="C1364" s="7" t="str">
        <f t="shared" si="75"/>
        <v>046</v>
      </c>
      <c r="D1364" s="7" t="str">
        <f>"12"</f>
        <v>12</v>
      </c>
      <c r="E1364" s="8">
        <v>0</v>
      </c>
      <c r="F1364" s="7" t="s">
        <v>8</v>
      </c>
    </row>
    <row r="1365" s="2" customFormat="1" ht="14.1" customHeight="1" spans="1:6">
      <c r="A1365" s="7" t="str">
        <f>"2102604613"</f>
        <v>2102604613</v>
      </c>
      <c r="B1365" s="7" t="str">
        <f t="shared" si="73"/>
        <v>2021026</v>
      </c>
      <c r="C1365" s="7" t="str">
        <f t="shared" si="75"/>
        <v>046</v>
      </c>
      <c r="D1365" s="7" t="str">
        <f>"13"</f>
        <v>13</v>
      </c>
      <c r="E1365" s="8">
        <v>67.3</v>
      </c>
      <c r="F1365" s="7" t="s">
        <v>7</v>
      </c>
    </row>
    <row r="1366" s="2" customFormat="1" ht="14.1" customHeight="1" spans="1:6">
      <c r="A1366" s="7" t="str">
        <f>"2102604614"</f>
        <v>2102604614</v>
      </c>
      <c r="B1366" s="7" t="str">
        <f t="shared" si="73"/>
        <v>2021026</v>
      </c>
      <c r="C1366" s="7" t="str">
        <f t="shared" si="75"/>
        <v>046</v>
      </c>
      <c r="D1366" s="7" t="str">
        <f>"14"</f>
        <v>14</v>
      </c>
      <c r="E1366" s="8">
        <v>65.3</v>
      </c>
      <c r="F1366" s="7" t="s">
        <v>7</v>
      </c>
    </row>
    <row r="1367" s="2" customFormat="1" ht="14.1" customHeight="1" spans="1:6">
      <c r="A1367" s="7" t="str">
        <f>"2102604615"</f>
        <v>2102604615</v>
      </c>
      <c r="B1367" s="7" t="str">
        <f t="shared" si="73"/>
        <v>2021026</v>
      </c>
      <c r="C1367" s="7" t="str">
        <f t="shared" si="75"/>
        <v>046</v>
      </c>
      <c r="D1367" s="7" t="str">
        <f>"15"</f>
        <v>15</v>
      </c>
      <c r="E1367" s="8">
        <v>68.9</v>
      </c>
      <c r="F1367" s="7" t="s">
        <v>7</v>
      </c>
    </row>
    <row r="1368" s="2" customFormat="1" ht="14.1" customHeight="1" spans="1:6">
      <c r="A1368" s="7" t="str">
        <f>"2102604616"</f>
        <v>2102604616</v>
      </c>
      <c r="B1368" s="7" t="str">
        <f t="shared" si="73"/>
        <v>2021026</v>
      </c>
      <c r="C1368" s="7" t="str">
        <f t="shared" si="75"/>
        <v>046</v>
      </c>
      <c r="D1368" s="7" t="str">
        <f>"16"</f>
        <v>16</v>
      </c>
      <c r="E1368" s="8">
        <v>65.2</v>
      </c>
      <c r="F1368" s="7" t="s">
        <v>7</v>
      </c>
    </row>
    <row r="1369" s="2" customFormat="1" ht="14.1" customHeight="1" spans="1:6">
      <c r="A1369" s="7" t="str">
        <f>"2102604617"</f>
        <v>2102604617</v>
      </c>
      <c r="B1369" s="7" t="str">
        <f t="shared" si="73"/>
        <v>2021026</v>
      </c>
      <c r="C1369" s="7" t="str">
        <f t="shared" si="75"/>
        <v>046</v>
      </c>
      <c r="D1369" s="7" t="str">
        <f>"17"</f>
        <v>17</v>
      </c>
      <c r="E1369" s="8">
        <v>68.1</v>
      </c>
      <c r="F1369" s="7" t="s">
        <v>7</v>
      </c>
    </row>
    <row r="1370" s="2" customFormat="1" ht="14.1" customHeight="1" spans="1:6">
      <c r="A1370" s="7" t="str">
        <f>"2102604618"</f>
        <v>2102604618</v>
      </c>
      <c r="B1370" s="7" t="str">
        <f t="shared" si="73"/>
        <v>2021026</v>
      </c>
      <c r="C1370" s="7" t="str">
        <f t="shared" si="75"/>
        <v>046</v>
      </c>
      <c r="D1370" s="7" t="str">
        <f>"18"</f>
        <v>18</v>
      </c>
      <c r="E1370" s="8">
        <v>60.3</v>
      </c>
      <c r="F1370" s="7" t="s">
        <v>7</v>
      </c>
    </row>
    <row r="1371" s="2" customFormat="1" ht="14.1" customHeight="1" spans="1:6">
      <c r="A1371" s="7" t="str">
        <f>"2102604619"</f>
        <v>2102604619</v>
      </c>
      <c r="B1371" s="7" t="str">
        <f t="shared" si="73"/>
        <v>2021026</v>
      </c>
      <c r="C1371" s="7" t="str">
        <f t="shared" si="75"/>
        <v>046</v>
      </c>
      <c r="D1371" s="7" t="str">
        <f>"19"</f>
        <v>19</v>
      </c>
      <c r="E1371" s="8">
        <v>0</v>
      </c>
      <c r="F1371" s="7" t="s">
        <v>8</v>
      </c>
    </row>
    <row r="1372" s="2" customFormat="1" ht="14.1" customHeight="1" spans="1:6">
      <c r="A1372" s="7" t="str">
        <f>"2102604620"</f>
        <v>2102604620</v>
      </c>
      <c r="B1372" s="7" t="str">
        <f t="shared" si="73"/>
        <v>2021026</v>
      </c>
      <c r="C1372" s="7" t="str">
        <f t="shared" si="75"/>
        <v>046</v>
      </c>
      <c r="D1372" s="7" t="str">
        <f>"20"</f>
        <v>20</v>
      </c>
      <c r="E1372" s="8">
        <v>57.1</v>
      </c>
      <c r="F1372" s="7" t="s">
        <v>7</v>
      </c>
    </row>
    <row r="1373" s="2" customFormat="1" ht="14.1" customHeight="1" spans="1:6">
      <c r="A1373" s="7" t="str">
        <f>"2102604621"</f>
        <v>2102604621</v>
      </c>
      <c r="B1373" s="7" t="str">
        <f t="shared" si="73"/>
        <v>2021026</v>
      </c>
      <c r="C1373" s="7" t="str">
        <f t="shared" si="75"/>
        <v>046</v>
      </c>
      <c r="D1373" s="7" t="str">
        <f>"21"</f>
        <v>21</v>
      </c>
      <c r="E1373" s="8">
        <v>0</v>
      </c>
      <c r="F1373" s="7" t="s">
        <v>8</v>
      </c>
    </row>
    <row r="1374" s="2" customFormat="1" ht="14.1" customHeight="1" spans="1:6">
      <c r="A1374" s="7" t="str">
        <f>"2102604622"</f>
        <v>2102604622</v>
      </c>
      <c r="B1374" s="7" t="str">
        <f t="shared" si="73"/>
        <v>2021026</v>
      </c>
      <c r="C1374" s="7" t="str">
        <f t="shared" si="75"/>
        <v>046</v>
      </c>
      <c r="D1374" s="7" t="str">
        <f>"22"</f>
        <v>22</v>
      </c>
      <c r="E1374" s="8">
        <v>0</v>
      </c>
      <c r="F1374" s="7" t="s">
        <v>8</v>
      </c>
    </row>
    <row r="1375" s="2" customFormat="1" ht="14.1" customHeight="1" spans="1:6">
      <c r="A1375" s="7" t="str">
        <f>"2102604623"</f>
        <v>2102604623</v>
      </c>
      <c r="B1375" s="7" t="str">
        <f t="shared" si="73"/>
        <v>2021026</v>
      </c>
      <c r="C1375" s="7" t="str">
        <f t="shared" si="75"/>
        <v>046</v>
      </c>
      <c r="D1375" s="7" t="str">
        <f>"23"</f>
        <v>23</v>
      </c>
      <c r="E1375" s="8">
        <v>70.7</v>
      </c>
      <c r="F1375" s="7" t="s">
        <v>7</v>
      </c>
    </row>
    <row r="1376" s="2" customFormat="1" ht="14.1" customHeight="1" spans="1:6">
      <c r="A1376" s="7" t="str">
        <f>"2102604624"</f>
        <v>2102604624</v>
      </c>
      <c r="B1376" s="7" t="str">
        <f t="shared" si="73"/>
        <v>2021026</v>
      </c>
      <c r="C1376" s="7" t="str">
        <f t="shared" si="75"/>
        <v>046</v>
      </c>
      <c r="D1376" s="7" t="str">
        <f>"24"</f>
        <v>24</v>
      </c>
      <c r="E1376" s="8">
        <v>58.3</v>
      </c>
      <c r="F1376" s="7" t="s">
        <v>7</v>
      </c>
    </row>
    <row r="1377" s="2" customFormat="1" ht="14.1" customHeight="1" spans="1:6">
      <c r="A1377" s="7" t="str">
        <f>"2102604625"</f>
        <v>2102604625</v>
      </c>
      <c r="B1377" s="7" t="str">
        <f t="shared" si="73"/>
        <v>2021026</v>
      </c>
      <c r="C1377" s="7" t="str">
        <f t="shared" si="75"/>
        <v>046</v>
      </c>
      <c r="D1377" s="7" t="str">
        <f>"25"</f>
        <v>25</v>
      </c>
      <c r="E1377" s="8">
        <v>63.8</v>
      </c>
      <c r="F1377" s="7" t="s">
        <v>7</v>
      </c>
    </row>
    <row r="1378" s="2" customFormat="1" ht="14.1" customHeight="1" spans="1:6">
      <c r="A1378" s="7" t="str">
        <f>"2102604626"</f>
        <v>2102604626</v>
      </c>
      <c r="B1378" s="7" t="str">
        <f t="shared" si="73"/>
        <v>2021026</v>
      </c>
      <c r="C1378" s="7" t="str">
        <f t="shared" si="75"/>
        <v>046</v>
      </c>
      <c r="D1378" s="7" t="str">
        <f>"26"</f>
        <v>26</v>
      </c>
      <c r="E1378" s="8">
        <v>56.9</v>
      </c>
      <c r="F1378" s="7" t="s">
        <v>7</v>
      </c>
    </row>
    <row r="1379" s="2" customFormat="1" ht="14.1" customHeight="1" spans="1:6">
      <c r="A1379" s="7" t="str">
        <f>"2102604627"</f>
        <v>2102604627</v>
      </c>
      <c r="B1379" s="7" t="str">
        <f t="shared" ref="B1379:B1442" si="76">"2021026"</f>
        <v>2021026</v>
      </c>
      <c r="C1379" s="7" t="str">
        <f t="shared" si="75"/>
        <v>046</v>
      </c>
      <c r="D1379" s="7" t="str">
        <f>"27"</f>
        <v>27</v>
      </c>
      <c r="E1379" s="8">
        <v>0</v>
      </c>
      <c r="F1379" s="7" t="s">
        <v>8</v>
      </c>
    </row>
    <row r="1380" s="2" customFormat="1" ht="14.1" customHeight="1" spans="1:6">
      <c r="A1380" s="7" t="str">
        <f>"2102604628"</f>
        <v>2102604628</v>
      </c>
      <c r="B1380" s="7" t="str">
        <f t="shared" si="76"/>
        <v>2021026</v>
      </c>
      <c r="C1380" s="7" t="str">
        <f t="shared" si="75"/>
        <v>046</v>
      </c>
      <c r="D1380" s="7" t="str">
        <f>"28"</f>
        <v>28</v>
      </c>
      <c r="E1380" s="8">
        <v>69.6</v>
      </c>
      <c r="F1380" s="7" t="s">
        <v>7</v>
      </c>
    </row>
    <row r="1381" s="2" customFormat="1" ht="14.1" customHeight="1" spans="1:6">
      <c r="A1381" s="7" t="str">
        <f>"2102604629"</f>
        <v>2102604629</v>
      </c>
      <c r="B1381" s="7" t="str">
        <f t="shared" si="76"/>
        <v>2021026</v>
      </c>
      <c r="C1381" s="7" t="str">
        <f t="shared" si="75"/>
        <v>046</v>
      </c>
      <c r="D1381" s="7" t="str">
        <f>"29"</f>
        <v>29</v>
      </c>
      <c r="E1381" s="8">
        <v>54.6</v>
      </c>
      <c r="F1381" s="7" t="s">
        <v>7</v>
      </c>
    </row>
    <row r="1382" s="2" customFormat="1" ht="14.1" customHeight="1" spans="1:6">
      <c r="A1382" s="7" t="str">
        <f>"2102604630"</f>
        <v>2102604630</v>
      </c>
      <c r="B1382" s="7" t="str">
        <f t="shared" si="76"/>
        <v>2021026</v>
      </c>
      <c r="C1382" s="7" t="str">
        <f t="shared" si="75"/>
        <v>046</v>
      </c>
      <c r="D1382" s="7" t="str">
        <f>"30"</f>
        <v>30</v>
      </c>
      <c r="E1382" s="8">
        <v>0</v>
      </c>
      <c r="F1382" s="7" t="s">
        <v>8</v>
      </c>
    </row>
    <row r="1383" s="2" customFormat="1" ht="14.1" customHeight="1" spans="1:6">
      <c r="A1383" s="7" t="str">
        <f>"2102604701"</f>
        <v>2102604701</v>
      </c>
      <c r="B1383" s="7" t="str">
        <f t="shared" si="76"/>
        <v>2021026</v>
      </c>
      <c r="C1383" s="7" t="str">
        <f t="shared" ref="C1383:C1412" si="77">"047"</f>
        <v>047</v>
      </c>
      <c r="D1383" s="7" t="str">
        <f>"01"</f>
        <v>01</v>
      </c>
      <c r="E1383" s="8">
        <v>63</v>
      </c>
      <c r="F1383" s="7" t="s">
        <v>7</v>
      </c>
    </row>
    <row r="1384" s="2" customFormat="1" ht="14.1" customHeight="1" spans="1:6">
      <c r="A1384" s="7" t="str">
        <f>"2102604702"</f>
        <v>2102604702</v>
      </c>
      <c r="B1384" s="7" t="str">
        <f t="shared" si="76"/>
        <v>2021026</v>
      </c>
      <c r="C1384" s="7" t="str">
        <f t="shared" si="77"/>
        <v>047</v>
      </c>
      <c r="D1384" s="7" t="str">
        <f>"02"</f>
        <v>02</v>
      </c>
      <c r="E1384" s="8">
        <v>56.6</v>
      </c>
      <c r="F1384" s="7" t="s">
        <v>7</v>
      </c>
    </row>
    <row r="1385" s="2" customFormat="1" ht="14.1" customHeight="1" spans="1:6">
      <c r="A1385" s="7" t="str">
        <f>"2102604703"</f>
        <v>2102604703</v>
      </c>
      <c r="B1385" s="7" t="str">
        <f t="shared" si="76"/>
        <v>2021026</v>
      </c>
      <c r="C1385" s="7" t="str">
        <f t="shared" si="77"/>
        <v>047</v>
      </c>
      <c r="D1385" s="7" t="str">
        <f>"03"</f>
        <v>03</v>
      </c>
      <c r="E1385" s="8">
        <v>0</v>
      </c>
      <c r="F1385" s="7" t="s">
        <v>8</v>
      </c>
    </row>
    <row r="1386" s="2" customFormat="1" ht="14.1" customHeight="1" spans="1:6">
      <c r="A1386" s="7" t="str">
        <f>"2102604704"</f>
        <v>2102604704</v>
      </c>
      <c r="B1386" s="7" t="str">
        <f t="shared" si="76"/>
        <v>2021026</v>
      </c>
      <c r="C1386" s="7" t="str">
        <f t="shared" si="77"/>
        <v>047</v>
      </c>
      <c r="D1386" s="7" t="str">
        <f>"04"</f>
        <v>04</v>
      </c>
      <c r="E1386" s="8">
        <v>60.1</v>
      </c>
      <c r="F1386" s="7" t="s">
        <v>7</v>
      </c>
    </row>
    <row r="1387" s="2" customFormat="1" ht="14.1" customHeight="1" spans="1:6">
      <c r="A1387" s="7" t="str">
        <f>"2102604705"</f>
        <v>2102604705</v>
      </c>
      <c r="B1387" s="7" t="str">
        <f t="shared" si="76"/>
        <v>2021026</v>
      </c>
      <c r="C1387" s="7" t="str">
        <f t="shared" si="77"/>
        <v>047</v>
      </c>
      <c r="D1387" s="7" t="str">
        <f>"05"</f>
        <v>05</v>
      </c>
      <c r="E1387" s="8">
        <v>56.6</v>
      </c>
      <c r="F1387" s="7" t="s">
        <v>7</v>
      </c>
    </row>
    <row r="1388" s="2" customFormat="1" ht="14.1" customHeight="1" spans="1:6">
      <c r="A1388" s="7" t="str">
        <f>"2102604706"</f>
        <v>2102604706</v>
      </c>
      <c r="B1388" s="7" t="str">
        <f t="shared" si="76"/>
        <v>2021026</v>
      </c>
      <c r="C1388" s="7" t="str">
        <f t="shared" si="77"/>
        <v>047</v>
      </c>
      <c r="D1388" s="7" t="str">
        <f>"06"</f>
        <v>06</v>
      </c>
      <c r="E1388" s="8">
        <v>60.3</v>
      </c>
      <c r="F1388" s="7" t="s">
        <v>7</v>
      </c>
    </row>
    <row r="1389" s="2" customFormat="1" ht="14.1" customHeight="1" spans="1:6">
      <c r="A1389" s="7" t="str">
        <f>"2102604707"</f>
        <v>2102604707</v>
      </c>
      <c r="B1389" s="7" t="str">
        <f t="shared" si="76"/>
        <v>2021026</v>
      </c>
      <c r="C1389" s="7" t="str">
        <f t="shared" si="77"/>
        <v>047</v>
      </c>
      <c r="D1389" s="7" t="str">
        <f>"07"</f>
        <v>07</v>
      </c>
      <c r="E1389" s="8">
        <v>0</v>
      </c>
      <c r="F1389" s="7" t="s">
        <v>8</v>
      </c>
    </row>
    <row r="1390" s="2" customFormat="1" ht="14.1" customHeight="1" spans="1:6">
      <c r="A1390" s="7" t="str">
        <f>"2102604708"</f>
        <v>2102604708</v>
      </c>
      <c r="B1390" s="7" t="str">
        <f t="shared" si="76"/>
        <v>2021026</v>
      </c>
      <c r="C1390" s="7" t="str">
        <f t="shared" si="77"/>
        <v>047</v>
      </c>
      <c r="D1390" s="7" t="str">
        <f>"08"</f>
        <v>08</v>
      </c>
      <c r="E1390" s="8">
        <v>0</v>
      </c>
      <c r="F1390" s="7" t="s">
        <v>8</v>
      </c>
    </row>
    <row r="1391" s="2" customFormat="1" ht="14.1" customHeight="1" spans="1:6">
      <c r="A1391" s="7" t="str">
        <f>"2102604709"</f>
        <v>2102604709</v>
      </c>
      <c r="B1391" s="7" t="str">
        <f t="shared" si="76"/>
        <v>2021026</v>
      </c>
      <c r="C1391" s="7" t="str">
        <f t="shared" si="77"/>
        <v>047</v>
      </c>
      <c r="D1391" s="7" t="str">
        <f>"09"</f>
        <v>09</v>
      </c>
      <c r="E1391" s="8">
        <v>58.7</v>
      </c>
      <c r="F1391" s="7" t="s">
        <v>7</v>
      </c>
    </row>
    <row r="1392" s="2" customFormat="1" ht="14.1" customHeight="1" spans="1:6">
      <c r="A1392" s="7" t="str">
        <f>"2102604710"</f>
        <v>2102604710</v>
      </c>
      <c r="B1392" s="7" t="str">
        <f t="shared" si="76"/>
        <v>2021026</v>
      </c>
      <c r="C1392" s="7" t="str">
        <f t="shared" si="77"/>
        <v>047</v>
      </c>
      <c r="D1392" s="7" t="str">
        <f>"10"</f>
        <v>10</v>
      </c>
      <c r="E1392" s="8">
        <v>64.3</v>
      </c>
      <c r="F1392" s="7" t="s">
        <v>7</v>
      </c>
    </row>
    <row r="1393" s="2" customFormat="1" ht="14.1" customHeight="1" spans="1:6">
      <c r="A1393" s="7" t="str">
        <f>"2102604711"</f>
        <v>2102604711</v>
      </c>
      <c r="B1393" s="7" t="str">
        <f t="shared" si="76"/>
        <v>2021026</v>
      </c>
      <c r="C1393" s="7" t="str">
        <f t="shared" si="77"/>
        <v>047</v>
      </c>
      <c r="D1393" s="7" t="str">
        <f>"11"</f>
        <v>11</v>
      </c>
      <c r="E1393" s="8">
        <v>57.8</v>
      </c>
      <c r="F1393" s="7" t="s">
        <v>7</v>
      </c>
    </row>
    <row r="1394" s="2" customFormat="1" ht="14.1" customHeight="1" spans="1:6">
      <c r="A1394" s="7" t="str">
        <f>"2102604712"</f>
        <v>2102604712</v>
      </c>
      <c r="B1394" s="7" t="str">
        <f t="shared" si="76"/>
        <v>2021026</v>
      </c>
      <c r="C1394" s="7" t="str">
        <f t="shared" si="77"/>
        <v>047</v>
      </c>
      <c r="D1394" s="7" t="str">
        <f>"12"</f>
        <v>12</v>
      </c>
      <c r="E1394" s="8">
        <v>40.5</v>
      </c>
      <c r="F1394" s="7" t="s">
        <v>7</v>
      </c>
    </row>
    <row r="1395" s="2" customFormat="1" ht="14.1" customHeight="1" spans="1:6">
      <c r="A1395" s="7" t="str">
        <f>"2102604713"</f>
        <v>2102604713</v>
      </c>
      <c r="B1395" s="7" t="str">
        <f t="shared" si="76"/>
        <v>2021026</v>
      </c>
      <c r="C1395" s="7" t="str">
        <f t="shared" si="77"/>
        <v>047</v>
      </c>
      <c r="D1395" s="7" t="str">
        <f>"13"</f>
        <v>13</v>
      </c>
      <c r="E1395" s="8">
        <v>0</v>
      </c>
      <c r="F1395" s="7" t="s">
        <v>8</v>
      </c>
    </row>
    <row r="1396" s="2" customFormat="1" ht="14.1" customHeight="1" spans="1:6">
      <c r="A1396" s="7" t="str">
        <f>"2102604714"</f>
        <v>2102604714</v>
      </c>
      <c r="B1396" s="7" t="str">
        <f t="shared" si="76"/>
        <v>2021026</v>
      </c>
      <c r="C1396" s="7" t="str">
        <f t="shared" si="77"/>
        <v>047</v>
      </c>
      <c r="D1396" s="7" t="str">
        <f>"14"</f>
        <v>14</v>
      </c>
      <c r="E1396" s="8">
        <v>61.9</v>
      </c>
      <c r="F1396" s="7" t="s">
        <v>7</v>
      </c>
    </row>
    <row r="1397" s="2" customFormat="1" ht="14.1" customHeight="1" spans="1:6">
      <c r="A1397" s="7" t="str">
        <f>"2102604715"</f>
        <v>2102604715</v>
      </c>
      <c r="B1397" s="7" t="str">
        <f t="shared" si="76"/>
        <v>2021026</v>
      </c>
      <c r="C1397" s="7" t="str">
        <f t="shared" si="77"/>
        <v>047</v>
      </c>
      <c r="D1397" s="7" t="str">
        <f>"15"</f>
        <v>15</v>
      </c>
      <c r="E1397" s="8">
        <v>47.3</v>
      </c>
      <c r="F1397" s="7" t="s">
        <v>7</v>
      </c>
    </row>
    <row r="1398" s="2" customFormat="1" ht="14.1" customHeight="1" spans="1:6">
      <c r="A1398" s="7" t="str">
        <f>"2102604716"</f>
        <v>2102604716</v>
      </c>
      <c r="B1398" s="7" t="str">
        <f t="shared" si="76"/>
        <v>2021026</v>
      </c>
      <c r="C1398" s="7" t="str">
        <f t="shared" si="77"/>
        <v>047</v>
      </c>
      <c r="D1398" s="7" t="str">
        <f>"16"</f>
        <v>16</v>
      </c>
      <c r="E1398" s="8">
        <v>54.6</v>
      </c>
      <c r="F1398" s="7" t="s">
        <v>7</v>
      </c>
    </row>
    <row r="1399" s="2" customFormat="1" ht="14.1" customHeight="1" spans="1:6">
      <c r="A1399" s="7" t="str">
        <f>"2102604717"</f>
        <v>2102604717</v>
      </c>
      <c r="B1399" s="7" t="str">
        <f t="shared" si="76"/>
        <v>2021026</v>
      </c>
      <c r="C1399" s="7" t="str">
        <f t="shared" si="77"/>
        <v>047</v>
      </c>
      <c r="D1399" s="7" t="str">
        <f>"17"</f>
        <v>17</v>
      </c>
      <c r="E1399" s="8">
        <v>0</v>
      </c>
      <c r="F1399" s="7" t="s">
        <v>8</v>
      </c>
    </row>
    <row r="1400" s="2" customFormat="1" ht="14.1" customHeight="1" spans="1:6">
      <c r="A1400" s="7" t="str">
        <f>"2102604718"</f>
        <v>2102604718</v>
      </c>
      <c r="B1400" s="7" t="str">
        <f t="shared" si="76"/>
        <v>2021026</v>
      </c>
      <c r="C1400" s="7" t="str">
        <f t="shared" si="77"/>
        <v>047</v>
      </c>
      <c r="D1400" s="7" t="str">
        <f>"18"</f>
        <v>18</v>
      </c>
      <c r="E1400" s="8">
        <v>0</v>
      </c>
      <c r="F1400" s="7" t="s">
        <v>8</v>
      </c>
    </row>
    <row r="1401" s="2" customFormat="1" ht="14.1" customHeight="1" spans="1:6">
      <c r="A1401" s="7" t="str">
        <f>"2102604719"</f>
        <v>2102604719</v>
      </c>
      <c r="B1401" s="7" t="str">
        <f t="shared" si="76"/>
        <v>2021026</v>
      </c>
      <c r="C1401" s="7" t="str">
        <f t="shared" si="77"/>
        <v>047</v>
      </c>
      <c r="D1401" s="7" t="str">
        <f>"19"</f>
        <v>19</v>
      </c>
      <c r="E1401" s="8">
        <v>0</v>
      </c>
      <c r="F1401" s="7" t="s">
        <v>8</v>
      </c>
    </row>
    <row r="1402" s="2" customFormat="1" ht="14.1" customHeight="1" spans="1:6">
      <c r="A1402" s="7" t="str">
        <f>"2102604720"</f>
        <v>2102604720</v>
      </c>
      <c r="B1402" s="7" t="str">
        <f t="shared" si="76"/>
        <v>2021026</v>
      </c>
      <c r="C1402" s="7" t="str">
        <f t="shared" si="77"/>
        <v>047</v>
      </c>
      <c r="D1402" s="7" t="str">
        <f>"20"</f>
        <v>20</v>
      </c>
      <c r="E1402" s="8">
        <v>62.5</v>
      </c>
      <c r="F1402" s="7" t="s">
        <v>7</v>
      </c>
    </row>
    <row r="1403" s="2" customFormat="1" ht="14.1" customHeight="1" spans="1:6">
      <c r="A1403" s="7" t="str">
        <f>"2102604721"</f>
        <v>2102604721</v>
      </c>
      <c r="B1403" s="7" t="str">
        <f t="shared" si="76"/>
        <v>2021026</v>
      </c>
      <c r="C1403" s="7" t="str">
        <f t="shared" si="77"/>
        <v>047</v>
      </c>
      <c r="D1403" s="7" t="str">
        <f>"21"</f>
        <v>21</v>
      </c>
      <c r="E1403" s="8">
        <v>0</v>
      </c>
      <c r="F1403" s="7" t="s">
        <v>8</v>
      </c>
    </row>
    <row r="1404" s="2" customFormat="1" ht="14.1" customHeight="1" spans="1:6">
      <c r="A1404" s="7" t="str">
        <f>"2102604722"</f>
        <v>2102604722</v>
      </c>
      <c r="B1404" s="7" t="str">
        <f t="shared" si="76"/>
        <v>2021026</v>
      </c>
      <c r="C1404" s="7" t="str">
        <f t="shared" si="77"/>
        <v>047</v>
      </c>
      <c r="D1404" s="7" t="str">
        <f>"22"</f>
        <v>22</v>
      </c>
      <c r="E1404" s="8">
        <v>57.3</v>
      </c>
      <c r="F1404" s="7" t="s">
        <v>7</v>
      </c>
    </row>
    <row r="1405" s="2" customFormat="1" ht="14.1" customHeight="1" spans="1:6">
      <c r="A1405" s="7" t="str">
        <f>"2102604723"</f>
        <v>2102604723</v>
      </c>
      <c r="B1405" s="7" t="str">
        <f t="shared" si="76"/>
        <v>2021026</v>
      </c>
      <c r="C1405" s="7" t="str">
        <f t="shared" si="77"/>
        <v>047</v>
      </c>
      <c r="D1405" s="7" t="str">
        <f>"23"</f>
        <v>23</v>
      </c>
      <c r="E1405" s="8">
        <v>0</v>
      </c>
      <c r="F1405" s="7" t="s">
        <v>8</v>
      </c>
    </row>
    <row r="1406" s="2" customFormat="1" ht="14.1" customHeight="1" spans="1:6">
      <c r="A1406" s="7" t="str">
        <f>"2102604724"</f>
        <v>2102604724</v>
      </c>
      <c r="B1406" s="7" t="str">
        <f t="shared" si="76"/>
        <v>2021026</v>
      </c>
      <c r="C1406" s="7" t="str">
        <f t="shared" si="77"/>
        <v>047</v>
      </c>
      <c r="D1406" s="7" t="str">
        <f>"24"</f>
        <v>24</v>
      </c>
      <c r="E1406" s="8">
        <v>0</v>
      </c>
      <c r="F1406" s="7" t="s">
        <v>8</v>
      </c>
    </row>
    <row r="1407" s="2" customFormat="1" ht="14.1" customHeight="1" spans="1:6">
      <c r="A1407" s="7" t="str">
        <f>"2102604725"</f>
        <v>2102604725</v>
      </c>
      <c r="B1407" s="7" t="str">
        <f t="shared" si="76"/>
        <v>2021026</v>
      </c>
      <c r="C1407" s="7" t="str">
        <f t="shared" si="77"/>
        <v>047</v>
      </c>
      <c r="D1407" s="7" t="str">
        <f>"25"</f>
        <v>25</v>
      </c>
      <c r="E1407" s="8">
        <v>51.6</v>
      </c>
      <c r="F1407" s="7" t="s">
        <v>7</v>
      </c>
    </row>
    <row r="1408" s="2" customFormat="1" ht="14.1" customHeight="1" spans="1:6">
      <c r="A1408" s="7" t="str">
        <f>"2102604726"</f>
        <v>2102604726</v>
      </c>
      <c r="B1408" s="7" t="str">
        <f t="shared" si="76"/>
        <v>2021026</v>
      </c>
      <c r="C1408" s="7" t="str">
        <f t="shared" si="77"/>
        <v>047</v>
      </c>
      <c r="D1408" s="7" t="str">
        <f>"26"</f>
        <v>26</v>
      </c>
      <c r="E1408" s="8">
        <v>53.1</v>
      </c>
      <c r="F1408" s="7" t="s">
        <v>7</v>
      </c>
    </row>
    <row r="1409" s="2" customFormat="1" ht="14.1" customHeight="1" spans="1:6">
      <c r="A1409" s="7" t="str">
        <f>"2102604727"</f>
        <v>2102604727</v>
      </c>
      <c r="B1409" s="7" t="str">
        <f t="shared" si="76"/>
        <v>2021026</v>
      </c>
      <c r="C1409" s="7" t="str">
        <f t="shared" si="77"/>
        <v>047</v>
      </c>
      <c r="D1409" s="7" t="str">
        <f>"27"</f>
        <v>27</v>
      </c>
      <c r="E1409" s="8">
        <v>0</v>
      </c>
      <c r="F1409" s="7" t="s">
        <v>8</v>
      </c>
    </row>
    <row r="1410" s="2" customFormat="1" ht="14.1" customHeight="1" spans="1:6">
      <c r="A1410" s="7" t="str">
        <f>"2102604728"</f>
        <v>2102604728</v>
      </c>
      <c r="B1410" s="7" t="str">
        <f t="shared" si="76"/>
        <v>2021026</v>
      </c>
      <c r="C1410" s="7" t="str">
        <f t="shared" si="77"/>
        <v>047</v>
      </c>
      <c r="D1410" s="7" t="str">
        <f>"28"</f>
        <v>28</v>
      </c>
      <c r="E1410" s="8">
        <v>53.8</v>
      </c>
      <c r="F1410" s="7" t="s">
        <v>7</v>
      </c>
    </row>
    <row r="1411" s="2" customFormat="1" ht="14.1" customHeight="1" spans="1:6">
      <c r="A1411" s="7" t="str">
        <f>"2102604729"</f>
        <v>2102604729</v>
      </c>
      <c r="B1411" s="7" t="str">
        <f t="shared" si="76"/>
        <v>2021026</v>
      </c>
      <c r="C1411" s="7" t="str">
        <f t="shared" si="77"/>
        <v>047</v>
      </c>
      <c r="D1411" s="7" t="str">
        <f>"29"</f>
        <v>29</v>
      </c>
      <c r="E1411" s="8">
        <v>0</v>
      </c>
      <c r="F1411" s="7" t="s">
        <v>8</v>
      </c>
    </row>
    <row r="1412" s="2" customFormat="1" ht="14.1" customHeight="1" spans="1:6">
      <c r="A1412" s="7" t="str">
        <f>"2102604730"</f>
        <v>2102604730</v>
      </c>
      <c r="B1412" s="7" t="str">
        <f t="shared" si="76"/>
        <v>2021026</v>
      </c>
      <c r="C1412" s="7" t="str">
        <f t="shared" si="77"/>
        <v>047</v>
      </c>
      <c r="D1412" s="7" t="str">
        <f>"30"</f>
        <v>30</v>
      </c>
      <c r="E1412" s="8">
        <v>52.8</v>
      </c>
      <c r="F1412" s="7" t="s">
        <v>7</v>
      </c>
    </row>
    <row r="1413" s="2" customFormat="1" ht="14.1" customHeight="1" spans="1:6">
      <c r="A1413" s="7" t="str">
        <f>"2102604801"</f>
        <v>2102604801</v>
      </c>
      <c r="B1413" s="7" t="str">
        <f t="shared" si="76"/>
        <v>2021026</v>
      </c>
      <c r="C1413" s="7" t="str">
        <f t="shared" ref="C1413:C1442" si="78">"048"</f>
        <v>048</v>
      </c>
      <c r="D1413" s="7" t="str">
        <f>"01"</f>
        <v>01</v>
      </c>
      <c r="E1413" s="8">
        <v>0</v>
      </c>
      <c r="F1413" s="7" t="s">
        <v>8</v>
      </c>
    </row>
    <row r="1414" s="2" customFormat="1" ht="14.1" customHeight="1" spans="1:6">
      <c r="A1414" s="7" t="str">
        <f>"2102604802"</f>
        <v>2102604802</v>
      </c>
      <c r="B1414" s="7" t="str">
        <f t="shared" si="76"/>
        <v>2021026</v>
      </c>
      <c r="C1414" s="7" t="str">
        <f t="shared" si="78"/>
        <v>048</v>
      </c>
      <c r="D1414" s="7" t="str">
        <f>"02"</f>
        <v>02</v>
      </c>
      <c r="E1414" s="8">
        <v>0</v>
      </c>
      <c r="F1414" s="7" t="s">
        <v>8</v>
      </c>
    </row>
    <row r="1415" s="2" customFormat="1" ht="14.1" customHeight="1" spans="1:6">
      <c r="A1415" s="7" t="str">
        <f>"2102604803"</f>
        <v>2102604803</v>
      </c>
      <c r="B1415" s="7" t="str">
        <f t="shared" si="76"/>
        <v>2021026</v>
      </c>
      <c r="C1415" s="7" t="str">
        <f t="shared" si="78"/>
        <v>048</v>
      </c>
      <c r="D1415" s="7" t="str">
        <f>"03"</f>
        <v>03</v>
      </c>
      <c r="E1415" s="8">
        <v>0</v>
      </c>
      <c r="F1415" s="7" t="s">
        <v>8</v>
      </c>
    </row>
    <row r="1416" s="2" customFormat="1" ht="14.1" customHeight="1" spans="1:6">
      <c r="A1416" s="7" t="str">
        <f>"2102604804"</f>
        <v>2102604804</v>
      </c>
      <c r="B1416" s="7" t="str">
        <f t="shared" si="76"/>
        <v>2021026</v>
      </c>
      <c r="C1416" s="7" t="str">
        <f t="shared" si="78"/>
        <v>048</v>
      </c>
      <c r="D1416" s="7" t="str">
        <f>"04"</f>
        <v>04</v>
      </c>
      <c r="E1416" s="8">
        <v>0</v>
      </c>
      <c r="F1416" s="7" t="s">
        <v>8</v>
      </c>
    </row>
    <row r="1417" s="2" customFormat="1" ht="14.1" customHeight="1" spans="1:6">
      <c r="A1417" s="7" t="str">
        <f>"2102604805"</f>
        <v>2102604805</v>
      </c>
      <c r="B1417" s="7" t="str">
        <f t="shared" si="76"/>
        <v>2021026</v>
      </c>
      <c r="C1417" s="7" t="str">
        <f t="shared" si="78"/>
        <v>048</v>
      </c>
      <c r="D1417" s="7" t="str">
        <f>"05"</f>
        <v>05</v>
      </c>
      <c r="E1417" s="8">
        <v>0</v>
      </c>
      <c r="F1417" s="7" t="s">
        <v>8</v>
      </c>
    </row>
    <row r="1418" s="2" customFormat="1" ht="14.1" customHeight="1" spans="1:6">
      <c r="A1418" s="7" t="str">
        <f>"2102604806"</f>
        <v>2102604806</v>
      </c>
      <c r="B1418" s="7" t="str">
        <f t="shared" si="76"/>
        <v>2021026</v>
      </c>
      <c r="C1418" s="7" t="str">
        <f t="shared" si="78"/>
        <v>048</v>
      </c>
      <c r="D1418" s="7" t="str">
        <f>"06"</f>
        <v>06</v>
      </c>
      <c r="E1418" s="8">
        <v>0</v>
      </c>
      <c r="F1418" s="7" t="s">
        <v>8</v>
      </c>
    </row>
    <row r="1419" s="2" customFormat="1" ht="14.1" customHeight="1" spans="1:6">
      <c r="A1419" s="7" t="str">
        <f>"2102604807"</f>
        <v>2102604807</v>
      </c>
      <c r="B1419" s="7" t="str">
        <f t="shared" si="76"/>
        <v>2021026</v>
      </c>
      <c r="C1419" s="7" t="str">
        <f t="shared" si="78"/>
        <v>048</v>
      </c>
      <c r="D1419" s="7" t="str">
        <f>"07"</f>
        <v>07</v>
      </c>
      <c r="E1419" s="8">
        <v>0</v>
      </c>
      <c r="F1419" s="7" t="s">
        <v>8</v>
      </c>
    </row>
    <row r="1420" s="2" customFormat="1" ht="14.1" customHeight="1" spans="1:6">
      <c r="A1420" s="7" t="str">
        <f>"2102604808"</f>
        <v>2102604808</v>
      </c>
      <c r="B1420" s="7" t="str">
        <f t="shared" si="76"/>
        <v>2021026</v>
      </c>
      <c r="C1420" s="7" t="str">
        <f t="shared" si="78"/>
        <v>048</v>
      </c>
      <c r="D1420" s="7" t="str">
        <f>"08"</f>
        <v>08</v>
      </c>
      <c r="E1420" s="8">
        <v>0</v>
      </c>
      <c r="F1420" s="7" t="s">
        <v>8</v>
      </c>
    </row>
    <row r="1421" s="2" customFormat="1" ht="14.1" customHeight="1" spans="1:6">
      <c r="A1421" s="7" t="str">
        <f>"2102604809"</f>
        <v>2102604809</v>
      </c>
      <c r="B1421" s="7" t="str">
        <f t="shared" si="76"/>
        <v>2021026</v>
      </c>
      <c r="C1421" s="7" t="str">
        <f t="shared" si="78"/>
        <v>048</v>
      </c>
      <c r="D1421" s="7" t="str">
        <f>"09"</f>
        <v>09</v>
      </c>
      <c r="E1421" s="8">
        <v>57.6</v>
      </c>
      <c r="F1421" s="7" t="s">
        <v>7</v>
      </c>
    </row>
    <row r="1422" s="2" customFormat="1" ht="14.1" customHeight="1" spans="1:6">
      <c r="A1422" s="7" t="str">
        <f>"2102604810"</f>
        <v>2102604810</v>
      </c>
      <c r="B1422" s="7" t="str">
        <f t="shared" si="76"/>
        <v>2021026</v>
      </c>
      <c r="C1422" s="7" t="str">
        <f t="shared" si="78"/>
        <v>048</v>
      </c>
      <c r="D1422" s="7" t="str">
        <f>"10"</f>
        <v>10</v>
      </c>
      <c r="E1422" s="8">
        <v>0</v>
      </c>
      <c r="F1422" s="7" t="s">
        <v>8</v>
      </c>
    </row>
    <row r="1423" s="2" customFormat="1" ht="14.1" customHeight="1" spans="1:6">
      <c r="A1423" s="7" t="str">
        <f>"2102604811"</f>
        <v>2102604811</v>
      </c>
      <c r="B1423" s="7" t="str">
        <f t="shared" si="76"/>
        <v>2021026</v>
      </c>
      <c r="C1423" s="7" t="str">
        <f t="shared" si="78"/>
        <v>048</v>
      </c>
      <c r="D1423" s="7" t="str">
        <f>"11"</f>
        <v>11</v>
      </c>
      <c r="E1423" s="8">
        <v>0</v>
      </c>
      <c r="F1423" s="7" t="s">
        <v>8</v>
      </c>
    </row>
    <row r="1424" s="2" customFormat="1" ht="14.1" customHeight="1" spans="1:6">
      <c r="A1424" s="7" t="str">
        <f>"2102604812"</f>
        <v>2102604812</v>
      </c>
      <c r="B1424" s="7" t="str">
        <f t="shared" si="76"/>
        <v>2021026</v>
      </c>
      <c r="C1424" s="7" t="str">
        <f t="shared" si="78"/>
        <v>048</v>
      </c>
      <c r="D1424" s="7" t="str">
        <f>"12"</f>
        <v>12</v>
      </c>
      <c r="E1424" s="8">
        <v>58.6</v>
      </c>
      <c r="F1424" s="7" t="s">
        <v>7</v>
      </c>
    </row>
    <row r="1425" s="2" customFormat="1" ht="14.1" customHeight="1" spans="1:6">
      <c r="A1425" s="7" t="str">
        <f>"2102604813"</f>
        <v>2102604813</v>
      </c>
      <c r="B1425" s="7" t="str">
        <f t="shared" si="76"/>
        <v>2021026</v>
      </c>
      <c r="C1425" s="7" t="str">
        <f t="shared" si="78"/>
        <v>048</v>
      </c>
      <c r="D1425" s="7" t="str">
        <f>"13"</f>
        <v>13</v>
      </c>
      <c r="E1425" s="8">
        <v>64.8</v>
      </c>
      <c r="F1425" s="7" t="s">
        <v>7</v>
      </c>
    </row>
    <row r="1426" s="2" customFormat="1" ht="14.1" customHeight="1" spans="1:6">
      <c r="A1426" s="7" t="str">
        <f>"2102604814"</f>
        <v>2102604814</v>
      </c>
      <c r="B1426" s="7" t="str">
        <f t="shared" si="76"/>
        <v>2021026</v>
      </c>
      <c r="C1426" s="7" t="str">
        <f t="shared" si="78"/>
        <v>048</v>
      </c>
      <c r="D1426" s="7" t="str">
        <f>"14"</f>
        <v>14</v>
      </c>
      <c r="E1426" s="8">
        <v>0</v>
      </c>
      <c r="F1426" s="7" t="s">
        <v>8</v>
      </c>
    </row>
    <row r="1427" s="2" customFormat="1" ht="14.1" customHeight="1" spans="1:6">
      <c r="A1427" s="7" t="str">
        <f>"2102604815"</f>
        <v>2102604815</v>
      </c>
      <c r="B1427" s="7" t="str">
        <f t="shared" si="76"/>
        <v>2021026</v>
      </c>
      <c r="C1427" s="7" t="str">
        <f t="shared" si="78"/>
        <v>048</v>
      </c>
      <c r="D1427" s="7" t="str">
        <f>"15"</f>
        <v>15</v>
      </c>
      <c r="E1427" s="8">
        <v>70.3</v>
      </c>
      <c r="F1427" s="7" t="s">
        <v>7</v>
      </c>
    </row>
    <row r="1428" s="2" customFormat="1" ht="14.1" customHeight="1" spans="1:6">
      <c r="A1428" s="7" t="str">
        <f>"2102604816"</f>
        <v>2102604816</v>
      </c>
      <c r="B1428" s="7" t="str">
        <f t="shared" si="76"/>
        <v>2021026</v>
      </c>
      <c r="C1428" s="7" t="str">
        <f t="shared" si="78"/>
        <v>048</v>
      </c>
      <c r="D1428" s="7" t="str">
        <f>"16"</f>
        <v>16</v>
      </c>
      <c r="E1428" s="8">
        <v>0</v>
      </c>
      <c r="F1428" s="7" t="s">
        <v>8</v>
      </c>
    </row>
    <row r="1429" s="2" customFormat="1" ht="14.1" customHeight="1" spans="1:6">
      <c r="A1429" s="7" t="str">
        <f>"2102604817"</f>
        <v>2102604817</v>
      </c>
      <c r="B1429" s="7" t="str">
        <f t="shared" si="76"/>
        <v>2021026</v>
      </c>
      <c r="C1429" s="7" t="str">
        <f t="shared" si="78"/>
        <v>048</v>
      </c>
      <c r="D1429" s="7" t="str">
        <f>"17"</f>
        <v>17</v>
      </c>
      <c r="E1429" s="8">
        <v>71.8</v>
      </c>
      <c r="F1429" s="7" t="s">
        <v>7</v>
      </c>
    </row>
    <row r="1430" s="2" customFormat="1" ht="14.1" customHeight="1" spans="1:6">
      <c r="A1430" s="7" t="str">
        <f>"2102604818"</f>
        <v>2102604818</v>
      </c>
      <c r="B1430" s="7" t="str">
        <f t="shared" si="76"/>
        <v>2021026</v>
      </c>
      <c r="C1430" s="7" t="str">
        <f t="shared" si="78"/>
        <v>048</v>
      </c>
      <c r="D1430" s="7" t="str">
        <f>"18"</f>
        <v>18</v>
      </c>
      <c r="E1430" s="8">
        <v>45.7</v>
      </c>
      <c r="F1430" s="7" t="s">
        <v>7</v>
      </c>
    </row>
    <row r="1431" s="2" customFormat="1" ht="14.1" customHeight="1" spans="1:6">
      <c r="A1431" s="7" t="str">
        <f>"2102604819"</f>
        <v>2102604819</v>
      </c>
      <c r="B1431" s="7" t="str">
        <f t="shared" si="76"/>
        <v>2021026</v>
      </c>
      <c r="C1431" s="7" t="str">
        <f t="shared" si="78"/>
        <v>048</v>
      </c>
      <c r="D1431" s="7" t="str">
        <f>"19"</f>
        <v>19</v>
      </c>
      <c r="E1431" s="8">
        <v>66.2</v>
      </c>
      <c r="F1431" s="7" t="s">
        <v>7</v>
      </c>
    </row>
    <row r="1432" s="2" customFormat="1" ht="14.1" customHeight="1" spans="1:6">
      <c r="A1432" s="7" t="str">
        <f>"2102604820"</f>
        <v>2102604820</v>
      </c>
      <c r="B1432" s="7" t="str">
        <f t="shared" si="76"/>
        <v>2021026</v>
      </c>
      <c r="C1432" s="7" t="str">
        <f t="shared" si="78"/>
        <v>048</v>
      </c>
      <c r="D1432" s="7" t="str">
        <f>"20"</f>
        <v>20</v>
      </c>
      <c r="E1432" s="8">
        <v>66</v>
      </c>
      <c r="F1432" s="7" t="s">
        <v>7</v>
      </c>
    </row>
    <row r="1433" s="2" customFormat="1" ht="14.1" customHeight="1" spans="1:6">
      <c r="A1433" s="7" t="str">
        <f>"2102604821"</f>
        <v>2102604821</v>
      </c>
      <c r="B1433" s="7" t="str">
        <f t="shared" si="76"/>
        <v>2021026</v>
      </c>
      <c r="C1433" s="7" t="str">
        <f t="shared" si="78"/>
        <v>048</v>
      </c>
      <c r="D1433" s="7" t="str">
        <f>"21"</f>
        <v>21</v>
      </c>
      <c r="E1433" s="8">
        <v>0</v>
      </c>
      <c r="F1433" s="7" t="s">
        <v>8</v>
      </c>
    </row>
    <row r="1434" s="2" customFormat="1" ht="14.1" customHeight="1" spans="1:6">
      <c r="A1434" s="7" t="str">
        <f>"2102604822"</f>
        <v>2102604822</v>
      </c>
      <c r="B1434" s="7" t="str">
        <f t="shared" si="76"/>
        <v>2021026</v>
      </c>
      <c r="C1434" s="7" t="str">
        <f t="shared" si="78"/>
        <v>048</v>
      </c>
      <c r="D1434" s="7" t="str">
        <f>"22"</f>
        <v>22</v>
      </c>
      <c r="E1434" s="8">
        <v>0</v>
      </c>
      <c r="F1434" s="7" t="s">
        <v>8</v>
      </c>
    </row>
    <row r="1435" s="2" customFormat="1" ht="14.1" customHeight="1" spans="1:6">
      <c r="A1435" s="7" t="str">
        <f>"2102604823"</f>
        <v>2102604823</v>
      </c>
      <c r="B1435" s="7" t="str">
        <f t="shared" si="76"/>
        <v>2021026</v>
      </c>
      <c r="C1435" s="7" t="str">
        <f t="shared" si="78"/>
        <v>048</v>
      </c>
      <c r="D1435" s="7" t="str">
        <f>"23"</f>
        <v>23</v>
      </c>
      <c r="E1435" s="8">
        <v>0</v>
      </c>
      <c r="F1435" s="7" t="s">
        <v>8</v>
      </c>
    </row>
    <row r="1436" s="2" customFormat="1" ht="14.1" customHeight="1" spans="1:6">
      <c r="A1436" s="7" t="str">
        <f>"2102604824"</f>
        <v>2102604824</v>
      </c>
      <c r="B1436" s="7" t="str">
        <f t="shared" si="76"/>
        <v>2021026</v>
      </c>
      <c r="C1436" s="7" t="str">
        <f t="shared" si="78"/>
        <v>048</v>
      </c>
      <c r="D1436" s="7" t="str">
        <f>"24"</f>
        <v>24</v>
      </c>
      <c r="E1436" s="8">
        <v>0</v>
      </c>
      <c r="F1436" s="7" t="s">
        <v>8</v>
      </c>
    </row>
    <row r="1437" s="2" customFormat="1" ht="14.1" customHeight="1" spans="1:6">
      <c r="A1437" s="7" t="str">
        <f>"2102604825"</f>
        <v>2102604825</v>
      </c>
      <c r="B1437" s="7" t="str">
        <f t="shared" si="76"/>
        <v>2021026</v>
      </c>
      <c r="C1437" s="7" t="str">
        <f t="shared" si="78"/>
        <v>048</v>
      </c>
      <c r="D1437" s="7" t="str">
        <f>"25"</f>
        <v>25</v>
      </c>
      <c r="E1437" s="8">
        <v>0</v>
      </c>
      <c r="F1437" s="7" t="s">
        <v>8</v>
      </c>
    </row>
    <row r="1438" s="2" customFormat="1" ht="14.1" customHeight="1" spans="1:6">
      <c r="A1438" s="7" t="str">
        <f>"2102604826"</f>
        <v>2102604826</v>
      </c>
      <c r="B1438" s="7" t="str">
        <f t="shared" si="76"/>
        <v>2021026</v>
      </c>
      <c r="C1438" s="7" t="str">
        <f t="shared" si="78"/>
        <v>048</v>
      </c>
      <c r="D1438" s="7" t="str">
        <f>"26"</f>
        <v>26</v>
      </c>
      <c r="E1438" s="8">
        <v>0</v>
      </c>
      <c r="F1438" s="7" t="s">
        <v>8</v>
      </c>
    </row>
    <row r="1439" s="2" customFormat="1" ht="14.1" customHeight="1" spans="1:6">
      <c r="A1439" s="7" t="str">
        <f>"2102604827"</f>
        <v>2102604827</v>
      </c>
      <c r="B1439" s="7" t="str">
        <f t="shared" si="76"/>
        <v>2021026</v>
      </c>
      <c r="C1439" s="7" t="str">
        <f t="shared" si="78"/>
        <v>048</v>
      </c>
      <c r="D1439" s="7" t="str">
        <f>"27"</f>
        <v>27</v>
      </c>
      <c r="E1439" s="8">
        <v>52.2</v>
      </c>
      <c r="F1439" s="7" t="s">
        <v>7</v>
      </c>
    </row>
    <row r="1440" s="2" customFormat="1" ht="14.1" customHeight="1" spans="1:6">
      <c r="A1440" s="7" t="str">
        <f>"2102604828"</f>
        <v>2102604828</v>
      </c>
      <c r="B1440" s="7" t="str">
        <f t="shared" si="76"/>
        <v>2021026</v>
      </c>
      <c r="C1440" s="7" t="str">
        <f t="shared" si="78"/>
        <v>048</v>
      </c>
      <c r="D1440" s="7" t="str">
        <f>"28"</f>
        <v>28</v>
      </c>
      <c r="E1440" s="8">
        <v>58.9</v>
      </c>
      <c r="F1440" s="7" t="s">
        <v>7</v>
      </c>
    </row>
    <row r="1441" s="2" customFormat="1" ht="14.1" customHeight="1" spans="1:6">
      <c r="A1441" s="7" t="str">
        <f>"2102604829"</f>
        <v>2102604829</v>
      </c>
      <c r="B1441" s="7" t="str">
        <f t="shared" si="76"/>
        <v>2021026</v>
      </c>
      <c r="C1441" s="7" t="str">
        <f t="shared" si="78"/>
        <v>048</v>
      </c>
      <c r="D1441" s="7" t="str">
        <f>"29"</f>
        <v>29</v>
      </c>
      <c r="E1441" s="8">
        <v>48.5</v>
      </c>
      <c r="F1441" s="7" t="s">
        <v>7</v>
      </c>
    </row>
    <row r="1442" s="2" customFormat="1" ht="14.1" customHeight="1" spans="1:6">
      <c r="A1442" s="7" t="str">
        <f>"2102604830"</f>
        <v>2102604830</v>
      </c>
      <c r="B1442" s="7" t="str">
        <f t="shared" si="76"/>
        <v>2021026</v>
      </c>
      <c r="C1442" s="7" t="str">
        <f t="shared" si="78"/>
        <v>048</v>
      </c>
      <c r="D1442" s="7" t="str">
        <f>"30"</f>
        <v>30</v>
      </c>
      <c r="E1442" s="8">
        <v>62.3</v>
      </c>
      <c r="F1442" s="7" t="s">
        <v>7</v>
      </c>
    </row>
    <row r="1443" s="2" customFormat="1" ht="14.1" customHeight="1" spans="1:6">
      <c r="A1443" s="7" t="str">
        <f>"2102604901"</f>
        <v>2102604901</v>
      </c>
      <c r="B1443" s="7" t="str">
        <f t="shared" ref="B1443:B1506" si="79">"2021026"</f>
        <v>2021026</v>
      </c>
      <c r="C1443" s="7" t="str">
        <f t="shared" ref="C1443:C1472" si="80">"049"</f>
        <v>049</v>
      </c>
      <c r="D1443" s="7" t="str">
        <f>"01"</f>
        <v>01</v>
      </c>
      <c r="E1443" s="8">
        <v>0</v>
      </c>
      <c r="F1443" s="7" t="s">
        <v>8</v>
      </c>
    </row>
    <row r="1444" s="2" customFormat="1" ht="14.1" customHeight="1" spans="1:6">
      <c r="A1444" s="7" t="str">
        <f>"2102604902"</f>
        <v>2102604902</v>
      </c>
      <c r="B1444" s="7" t="str">
        <f t="shared" si="79"/>
        <v>2021026</v>
      </c>
      <c r="C1444" s="7" t="str">
        <f t="shared" si="80"/>
        <v>049</v>
      </c>
      <c r="D1444" s="7" t="str">
        <f>"02"</f>
        <v>02</v>
      </c>
      <c r="E1444" s="8">
        <v>60.6</v>
      </c>
      <c r="F1444" s="7" t="s">
        <v>7</v>
      </c>
    </row>
    <row r="1445" s="2" customFormat="1" ht="14.1" customHeight="1" spans="1:6">
      <c r="A1445" s="7" t="str">
        <f>"2102604903"</f>
        <v>2102604903</v>
      </c>
      <c r="B1445" s="7" t="str">
        <f t="shared" si="79"/>
        <v>2021026</v>
      </c>
      <c r="C1445" s="7" t="str">
        <f t="shared" si="80"/>
        <v>049</v>
      </c>
      <c r="D1445" s="7" t="str">
        <f>"03"</f>
        <v>03</v>
      </c>
      <c r="E1445" s="8">
        <v>53.8</v>
      </c>
      <c r="F1445" s="7" t="s">
        <v>7</v>
      </c>
    </row>
    <row r="1446" s="2" customFormat="1" ht="14.1" customHeight="1" spans="1:6">
      <c r="A1446" s="7" t="str">
        <f>"2102604904"</f>
        <v>2102604904</v>
      </c>
      <c r="B1446" s="7" t="str">
        <f t="shared" si="79"/>
        <v>2021026</v>
      </c>
      <c r="C1446" s="7" t="str">
        <f t="shared" si="80"/>
        <v>049</v>
      </c>
      <c r="D1446" s="7" t="str">
        <f>"04"</f>
        <v>04</v>
      </c>
      <c r="E1446" s="8">
        <v>51</v>
      </c>
      <c r="F1446" s="7" t="s">
        <v>7</v>
      </c>
    </row>
    <row r="1447" s="2" customFormat="1" ht="14.1" customHeight="1" spans="1:6">
      <c r="A1447" s="7" t="str">
        <f>"2102604905"</f>
        <v>2102604905</v>
      </c>
      <c r="B1447" s="7" t="str">
        <f t="shared" si="79"/>
        <v>2021026</v>
      </c>
      <c r="C1447" s="7" t="str">
        <f t="shared" si="80"/>
        <v>049</v>
      </c>
      <c r="D1447" s="7" t="str">
        <f>"05"</f>
        <v>05</v>
      </c>
      <c r="E1447" s="8">
        <v>0</v>
      </c>
      <c r="F1447" s="7" t="s">
        <v>8</v>
      </c>
    </row>
    <row r="1448" s="2" customFormat="1" ht="14.1" customHeight="1" spans="1:6">
      <c r="A1448" s="7" t="str">
        <f>"2102604906"</f>
        <v>2102604906</v>
      </c>
      <c r="B1448" s="7" t="str">
        <f t="shared" si="79"/>
        <v>2021026</v>
      </c>
      <c r="C1448" s="7" t="str">
        <f t="shared" si="80"/>
        <v>049</v>
      </c>
      <c r="D1448" s="7" t="str">
        <f>"06"</f>
        <v>06</v>
      </c>
      <c r="E1448" s="8">
        <v>57.8</v>
      </c>
      <c r="F1448" s="7" t="s">
        <v>7</v>
      </c>
    </row>
    <row r="1449" s="2" customFormat="1" ht="14.1" customHeight="1" spans="1:6">
      <c r="A1449" s="7" t="str">
        <f>"2102604907"</f>
        <v>2102604907</v>
      </c>
      <c r="B1449" s="7" t="str">
        <f t="shared" si="79"/>
        <v>2021026</v>
      </c>
      <c r="C1449" s="7" t="str">
        <f t="shared" si="80"/>
        <v>049</v>
      </c>
      <c r="D1449" s="7" t="str">
        <f>"07"</f>
        <v>07</v>
      </c>
      <c r="E1449" s="8">
        <v>51.3</v>
      </c>
      <c r="F1449" s="7" t="s">
        <v>7</v>
      </c>
    </row>
    <row r="1450" s="2" customFormat="1" ht="14.1" customHeight="1" spans="1:6">
      <c r="A1450" s="7" t="str">
        <f>"2102604908"</f>
        <v>2102604908</v>
      </c>
      <c r="B1450" s="7" t="str">
        <f t="shared" si="79"/>
        <v>2021026</v>
      </c>
      <c r="C1450" s="7" t="str">
        <f t="shared" si="80"/>
        <v>049</v>
      </c>
      <c r="D1450" s="7" t="str">
        <f>"08"</f>
        <v>08</v>
      </c>
      <c r="E1450" s="8">
        <v>56.8</v>
      </c>
      <c r="F1450" s="7" t="s">
        <v>7</v>
      </c>
    </row>
    <row r="1451" s="2" customFormat="1" ht="14.1" customHeight="1" spans="1:6">
      <c r="A1451" s="7" t="str">
        <f>"2102604909"</f>
        <v>2102604909</v>
      </c>
      <c r="B1451" s="7" t="str">
        <f t="shared" si="79"/>
        <v>2021026</v>
      </c>
      <c r="C1451" s="7" t="str">
        <f t="shared" si="80"/>
        <v>049</v>
      </c>
      <c r="D1451" s="7" t="str">
        <f>"09"</f>
        <v>09</v>
      </c>
      <c r="E1451" s="8">
        <v>48</v>
      </c>
      <c r="F1451" s="7" t="s">
        <v>7</v>
      </c>
    </row>
    <row r="1452" s="2" customFormat="1" ht="14.1" customHeight="1" spans="1:6">
      <c r="A1452" s="7" t="str">
        <f>"2102604910"</f>
        <v>2102604910</v>
      </c>
      <c r="B1452" s="7" t="str">
        <f t="shared" si="79"/>
        <v>2021026</v>
      </c>
      <c r="C1452" s="7" t="str">
        <f t="shared" si="80"/>
        <v>049</v>
      </c>
      <c r="D1452" s="7" t="str">
        <f>"10"</f>
        <v>10</v>
      </c>
      <c r="E1452" s="8">
        <v>58.7</v>
      </c>
      <c r="F1452" s="7" t="s">
        <v>7</v>
      </c>
    </row>
    <row r="1453" s="2" customFormat="1" ht="14.1" customHeight="1" spans="1:6">
      <c r="A1453" s="7" t="str">
        <f>"2102604911"</f>
        <v>2102604911</v>
      </c>
      <c r="B1453" s="7" t="str">
        <f t="shared" si="79"/>
        <v>2021026</v>
      </c>
      <c r="C1453" s="7" t="str">
        <f t="shared" si="80"/>
        <v>049</v>
      </c>
      <c r="D1453" s="7" t="str">
        <f>"11"</f>
        <v>11</v>
      </c>
      <c r="E1453" s="8">
        <v>60</v>
      </c>
      <c r="F1453" s="7" t="s">
        <v>7</v>
      </c>
    </row>
    <row r="1454" s="2" customFormat="1" ht="14.1" customHeight="1" spans="1:6">
      <c r="A1454" s="7" t="str">
        <f>"2102604912"</f>
        <v>2102604912</v>
      </c>
      <c r="B1454" s="7" t="str">
        <f t="shared" si="79"/>
        <v>2021026</v>
      </c>
      <c r="C1454" s="7" t="str">
        <f t="shared" si="80"/>
        <v>049</v>
      </c>
      <c r="D1454" s="7" t="str">
        <f>"12"</f>
        <v>12</v>
      </c>
      <c r="E1454" s="8">
        <v>67.8</v>
      </c>
      <c r="F1454" s="7" t="s">
        <v>7</v>
      </c>
    </row>
    <row r="1455" s="2" customFormat="1" ht="14.1" customHeight="1" spans="1:6">
      <c r="A1455" s="7" t="str">
        <f>"2102604913"</f>
        <v>2102604913</v>
      </c>
      <c r="B1455" s="7" t="str">
        <f t="shared" si="79"/>
        <v>2021026</v>
      </c>
      <c r="C1455" s="7" t="str">
        <f t="shared" si="80"/>
        <v>049</v>
      </c>
      <c r="D1455" s="7" t="str">
        <f>"13"</f>
        <v>13</v>
      </c>
      <c r="E1455" s="8">
        <v>70.5</v>
      </c>
      <c r="F1455" s="7" t="s">
        <v>7</v>
      </c>
    </row>
    <row r="1456" s="2" customFormat="1" ht="14.1" customHeight="1" spans="1:6">
      <c r="A1456" s="7" t="str">
        <f>"2102604914"</f>
        <v>2102604914</v>
      </c>
      <c r="B1456" s="7" t="str">
        <f t="shared" si="79"/>
        <v>2021026</v>
      </c>
      <c r="C1456" s="7" t="str">
        <f t="shared" si="80"/>
        <v>049</v>
      </c>
      <c r="D1456" s="7" t="str">
        <f>"14"</f>
        <v>14</v>
      </c>
      <c r="E1456" s="8">
        <v>63.3</v>
      </c>
      <c r="F1456" s="7" t="s">
        <v>7</v>
      </c>
    </row>
    <row r="1457" s="2" customFormat="1" ht="14.1" customHeight="1" spans="1:6">
      <c r="A1457" s="7" t="str">
        <f>"2102604915"</f>
        <v>2102604915</v>
      </c>
      <c r="B1457" s="7" t="str">
        <f t="shared" si="79"/>
        <v>2021026</v>
      </c>
      <c r="C1457" s="7" t="str">
        <f t="shared" si="80"/>
        <v>049</v>
      </c>
      <c r="D1457" s="7" t="str">
        <f>"15"</f>
        <v>15</v>
      </c>
      <c r="E1457" s="8">
        <v>59</v>
      </c>
      <c r="F1457" s="7" t="s">
        <v>7</v>
      </c>
    </row>
    <row r="1458" s="2" customFormat="1" ht="14.1" customHeight="1" spans="1:6">
      <c r="A1458" s="7" t="str">
        <f>"2102604916"</f>
        <v>2102604916</v>
      </c>
      <c r="B1458" s="7" t="str">
        <f t="shared" si="79"/>
        <v>2021026</v>
      </c>
      <c r="C1458" s="7" t="str">
        <f t="shared" si="80"/>
        <v>049</v>
      </c>
      <c r="D1458" s="7" t="str">
        <f>"16"</f>
        <v>16</v>
      </c>
      <c r="E1458" s="8">
        <v>0</v>
      </c>
      <c r="F1458" s="7" t="s">
        <v>8</v>
      </c>
    </row>
    <row r="1459" s="2" customFormat="1" ht="14.1" customHeight="1" spans="1:6">
      <c r="A1459" s="7" t="str">
        <f>"2102604917"</f>
        <v>2102604917</v>
      </c>
      <c r="B1459" s="7" t="str">
        <f t="shared" si="79"/>
        <v>2021026</v>
      </c>
      <c r="C1459" s="7" t="str">
        <f t="shared" si="80"/>
        <v>049</v>
      </c>
      <c r="D1459" s="7" t="str">
        <f>"17"</f>
        <v>17</v>
      </c>
      <c r="E1459" s="8">
        <v>0</v>
      </c>
      <c r="F1459" s="7" t="s">
        <v>8</v>
      </c>
    </row>
    <row r="1460" s="2" customFormat="1" ht="14.1" customHeight="1" spans="1:6">
      <c r="A1460" s="7" t="str">
        <f>"2102604918"</f>
        <v>2102604918</v>
      </c>
      <c r="B1460" s="7" t="str">
        <f t="shared" si="79"/>
        <v>2021026</v>
      </c>
      <c r="C1460" s="7" t="str">
        <f t="shared" si="80"/>
        <v>049</v>
      </c>
      <c r="D1460" s="7" t="str">
        <f>"18"</f>
        <v>18</v>
      </c>
      <c r="E1460" s="8">
        <v>53.2</v>
      </c>
      <c r="F1460" s="7" t="s">
        <v>7</v>
      </c>
    </row>
    <row r="1461" s="2" customFormat="1" ht="14.1" customHeight="1" spans="1:6">
      <c r="A1461" s="7" t="str">
        <f>"2102604919"</f>
        <v>2102604919</v>
      </c>
      <c r="B1461" s="7" t="str">
        <f t="shared" si="79"/>
        <v>2021026</v>
      </c>
      <c r="C1461" s="7" t="str">
        <f t="shared" si="80"/>
        <v>049</v>
      </c>
      <c r="D1461" s="7" t="str">
        <f>"19"</f>
        <v>19</v>
      </c>
      <c r="E1461" s="8">
        <v>61</v>
      </c>
      <c r="F1461" s="7" t="s">
        <v>7</v>
      </c>
    </row>
    <row r="1462" s="2" customFormat="1" ht="14.1" customHeight="1" spans="1:6">
      <c r="A1462" s="7" t="str">
        <f>"2102604920"</f>
        <v>2102604920</v>
      </c>
      <c r="B1462" s="7" t="str">
        <f t="shared" si="79"/>
        <v>2021026</v>
      </c>
      <c r="C1462" s="7" t="str">
        <f t="shared" si="80"/>
        <v>049</v>
      </c>
      <c r="D1462" s="7" t="str">
        <f>"20"</f>
        <v>20</v>
      </c>
      <c r="E1462" s="8">
        <v>0</v>
      </c>
      <c r="F1462" s="7" t="s">
        <v>8</v>
      </c>
    </row>
    <row r="1463" s="2" customFormat="1" ht="14.1" customHeight="1" spans="1:6">
      <c r="A1463" s="7" t="str">
        <f>"2102604921"</f>
        <v>2102604921</v>
      </c>
      <c r="B1463" s="7" t="str">
        <f t="shared" si="79"/>
        <v>2021026</v>
      </c>
      <c r="C1463" s="7" t="str">
        <f t="shared" si="80"/>
        <v>049</v>
      </c>
      <c r="D1463" s="7" t="str">
        <f>"21"</f>
        <v>21</v>
      </c>
      <c r="E1463" s="8">
        <v>68.1</v>
      </c>
      <c r="F1463" s="7" t="s">
        <v>7</v>
      </c>
    </row>
    <row r="1464" s="2" customFormat="1" ht="14.1" customHeight="1" spans="1:6">
      <c r="A1464" s="7" t="str">
        <f>"2102604922"</f>
        <v>2102604922</v>
      </c>
      <c r="B1464" s="7" t="str">
        <f t="shared" si="79"/>
        <v>2021026</v>
      </c>
      <c r="C1464" s="7" t="str">
        <f t="shared" si="80"/>
        <v>049</v>
      </c>
      <c r="D1464" s="7" t="str">
        <f>"22"</f>
        <v>22</v>
      </c>
      <c r="E1464" s="8">
        <v>60.5</v>
      </c>
      <c r="F1464" s="7" t="s">
        <v>7</v>
      </c>
    </row>
    <row r="1465" s="2" customFormat="1" ht="14.1" customHeight="1" spans="1:6">
      <c r="A1465" s="7" t="str">
        <f>"2102604923"</f>
        <v>2102604923</v>
      </c>
      <c r="B1465" s="7" t="str">
        <f t="shared" si="79"/>
        <v>2021026</v>
      </c>
      <c r="C1465" s="7" t="str">
        <f t="shared" si="80"/>
        <v>049</v>
      </c>
      <c r="D1465" s="7" t="str">
        <f>"23"</f>
        <v>23</v>
      </c>
      <c r="E1465" s="8">
        <v>0</v>
      </c>
      <c r="F1465" s="7" t="s">
        <v>8</v>
      </c>
    </row>
    <row r="1466" s="2" customFormat="1" ht="14.1" customHeight="1" spans="1:6">
      <c r="A1466" s="7" t="str">
        <f>"2102604924"</f>
        <v>2102604924</v>
      </c>
      <c r="B1466" s="7" t="str">
        <f t="shared" si="79"/>
        <v>2021026</v>
      </c>
      <c r="C1466" s="7" t="str">
        <f t="shared" si="80"/>
        <v>049</v>
      </c>
      <c r="D1466" s="7" t="str">
        <f>"24"</f>
        <v>24</v>
      </c>
      <c r="E1466" s="8">
        <v>49.3</v>
      </c>
      <c r="F1466" s="7" t="s">
        <v>7</v>
      </c>
    </row>
    <row r="1467" s="2" customFormat="1" ht="14.1" customHeight="1" spans="1:6">
      <c r="A1467" s="7" t="str">
        <f>"2102604925"</f>
        <v>2102604925</v>
      </c>
      <c r="B1467" s="7" t="str">
        <f t="shared" si="79"/>
        <v>2021026</v>
      </c>
      <c r="C1467" s="7" t="str">
        <f t="shared" si="80"/>
        <v>049</v>
      </c>
      <c r="D1467" s="7" t="str">
        <f>"25"</f>
        <v>25</v>
      </c>
      <c r="E1467" s="8">
        <v>0</v>
      </c>
      <c r="F1467" s="7" t="s">
        <v>8</v>
      </c>
    </row>
    <row r="1468" s="2" customFormat="1" ht="14.1" customHeight="1" spans="1:6">
      <c r="A1468" s="7" t="str">
        <f>"2102604926"</f>
        <v>2102604926</v>
      </c>
      <c r="B1468" s="7" t="str">
        <f t="shared" si="79"/>
        <v>2021026</v>
      </c>
      <c r="C1468" s="7" t="str">
        <f t="shared" si="80"/>
        <v>049</v>
      </c>
      <c r="D1468" s="7" t="str">
        <f>"26"</f>
        <v>26</v>
      </c>
      <c r="E1468" s="8">
        <v>61.3</v>
      </c>
      <c r="F1468" s="7" t="s">
        <v>7</v>
      </c>
    </row>
    <row r="1469" s="2" customFormat="1" ht="14.1" customHeight="1" spans="1:6">
      <c r="A1469" s="7" t="str">
        <f>"2102604927"</f>
        <v>2102604927</v>
      </c>
      <c r="B1469" s="7" t="str">
        <f t="shared" si="79"/>
        <v>2021026</v>
      </c>
      <c r="C1469" s="7" t="str">
        <f t="shared" si="80"/>
        <v>049</v>
      </c>
      <c r="D1469" s="7" t="str">
        <f>"27"</f>
        <v>27</v>
      </c>
      <c r="E1469" s="8">
        <v>0</v>
      </c>
      <c r="F1469" s="7" t="s">
        <v>8</v>
      </c>
    </row>
    <row r="1470" s="2" customFormat="1" ht="14.1" customHeight="1" spans="1:6">
      <c r="A1470" s="7" t="str">
        <f>"2102604928"</f>
        <v>2102604928</v>
      </c>
      <c r="B1470" s="7" t="str">
        <f t="shared" si="79"/>
        <v>2021026</v>
      </c>
      <c r="C1470" s="7" t="str">
        <f t="shared" si="80"/>
        <v>049</v>
      </c>
      <c r="D1470" s="7" t="str">
        <f>"28"</f>
        <v>28</v>
      </c>
      <c r="E1470" s="8">
        <v>66.8</v>
      </c>
      <c r="F1470" s="7" t="s">
        <v>7</v>
      </c>
    </row>
    <row r="1471" s="2" customFormat="1" ht="14.1" customHeight="1" spans="1:6">
      <c r="A1471" s="7" t="str">
        <f>"2102604929"</f>
        <v>2102604929</v>
      </c>
      <c r="B1471" s="7" t="str">
        <f t="shared" si="79"/>
        <v>2021026</v>
      </c>
      <c r="C1471" s="7" t="str">
        <f t="shared" si="80"/>
        <v>049</v>
      </c>
      <c r="D1471" s="7" t="str">
        <f>"29"</f>
        <v>29</v>
      </c>
      <c r="E1471" s="8">
        <v>0</v>
      </c>
      <c r="F1471" s="7" t="s">
        <v>8</v>
      </c>
    </row>
    <row r="1472" s="2" customFormat="1" ht="14.1" customHeight="1" spans="1:6">
      <c r="A1472" s="7" t="str">
        <f>"2102604930"</f>
        <v>2102604930</v>
      </c>
      <c r="B1472" s="7" t="str">
        <f t="shared" si="79"/>
        <v>2021026</v>
      </c>
      <c r="C1472" s="7" t="str">
        <f t="shared" si="80"/>
        <v>049</v>
      </c>
      <c r="D1472" s="7" t="str">
        <f>"30"</f>
        <v>30</v>
      </c>
      <c r="E1472" s="8">
        <v>0</v>
      </c>
      <c r="F1472" s="7" t="s">
        <v>8</v>
      </c>
    </row>
    <row r="1473" s="2" customFormat="1" ht="14.1" customHeight="1" spans="1:6">
      <c r="A1473" s="7" t="str">
        <f>"2102605001"</f>
        <v>2102605001</v>
      </c>
      <c r="B1473" s="7" t="str">
        <f t="shared" si="79"/>
        <v>2021026</v>
      </c>
      <c r="C1473" s="7" t="str">
        <f t="shared" ref="C1473:C1502" si="81">"050"</f>
        <v>050</v>
      </c>
      <c r="D1473" s="7" t="str">
        <f>"01"</f>
        <v>01</v>
      </c>
      <c r="E1473" s="8">
        <v>0</v>
      </c>
      <c r="F1473" s="7" t="s">
        <v>8</v>
      </c>
    </row>
    <row r="1474" s="2" customFormat="1" ht="14.1" customHeight="1" spans="1:6">
      <c r="A1474" s="7" t="str">
        <f>"2102605002"</f>
        <v>2102605002</v>
      </c>
      <c r="B1474" s="7" t="str">
        <f t="shared" si="79"/>
        <v>2021026</v>
      </c>
      <c r="C1474" s="7" t="str">
        <f t="shared" si="81"/>
        <v>050</v>
      </c>
      <c r="D1474" s="7" t="str">
        <f>"02"</f>
        <v>02</v>
      </c>
      <c r="E1474" s="8">
        <v>0</v>
      </c>
      <c r="F1474" s="7" t="s">
        <v>8</v>
      </c>
    </row>
    <row r="1475" s="2" customFormat="1" ht="14.1" customHeight="1" spans="1:6">
      <c r="A1475" s="7" t="str">
        <f>"2102605003"</f>
        <v>2102605003</v>
      </c>
      <c r="B1475" s="7" t="str">
        <f t="shared" si="79"/>
        <v>2021026</v>
      </c>
      <c r="C1475" s="7" t="str">
        <f t="shared" si="81"/>
        <v>050</v>
      </c>
      <c r="D1475" s="7" t="str">
        <f>"03"</f>
        <v>03</v>
      </c>
      <c r="E1475" s="8">
        <v>65.3</v>
      </c>
      <c r="F1475" s="7" t="s">
        <v>7</v>
      </c>
    </row>
    <row r="1476" s="2" customFormat="1" ht="14.1" customHeight="1" spans="1:6">
      <c r="A1476" s="7" t="str">
        <f>"2102605004"</f>
        <v>2102605004</v>
      </c>
      <c r="B1476" s="7" t="str">
        <f t="shared" si="79"/>
        <v>2021026</v>
      </c>
      <c r="C1476" s="7" t="str">
        <f t="shared" si="81"/>
        <v>050</v>
      </c>
      <c r="D1476" s="7" t="str">
        <f>"04"</f>
        <v>04</v>
      </c>
      <c r="E1476" s="8">
        <v>66</v>
      </c>
      <c r="F1476" s="7" t="s">
        <v>7</v>
      </c>
    </row>
    <row r="1477" s="2" customFormat="1" ht="14.1" customHeight="1" spans="1:6">
      <c r="A1477" s="7" t="str">
        <f>"2102605005"</f>
        <v>2102605005</v>
      </c>
      <c r="B1477" s="7" t="str">
        <f t="shared" si="79"/>
        <v>2021026</v>
      </c>
      <c r="C1477" s="7" t="str">
        <f t="shared" si="81"/>
        <v>050</v>
      </c>
      <c r="D1477" s="7" t="str">
        <f>"05"</f>
        <v>05</v>
      </c>
      <c r="E1477" s="8">
        <v>0</v>
      </c>
      <c r="F1477" s="7" t="s">
        <v>8</v>
      </c>
    </row>
    <row r="1478" s="2" customFormat="1" ht="14.1" customHeight="1" spans="1:6">
      <c r="A1478" s="7" t="str">
        <f>"2102605006"</f>
        <v>2102605006</v>
      </c>
      <c r="B1478" s="7" t="str">
        <f t="shared" si="79"/>
        <v>2021026</v>
      </c>
      <c r="C1478" s="7" t="str">
        <f t="shared" si="81"/>
        <v>050</v>
      </c>
      <c r="D1478" s="7" t="str">
        <f>"06"</f>
        <v>06</v>
      </c>
      <c r="E1478" s="8">
        <v>0</v>
      </c>
      <c r="F1478" s="7" t="s">
        <v>8</v>
      </c>
    </row>
    <row r="1479" s="2" customFormat="1" ht="14.1" customHeight="1" spans="1:6">
      <c r="A1479" s="7" t="str">
        <f>"2102605007"</f>
        <v>2102605007</v>
      </c>
      <c r="B1479" s="7" t="str">
        <f t="shared" si="79"/>
        <v>2021026</v>
      </c>
      <c r="C1479" s="7" t="str">
        <f t="shared" si="81"/>
        <v>050</v>
      </c>
      <c r="D1479" s="7" t="str">
        <f>"07"</f>
        <v>07</v>
      </c>
      <c r="E1479" s="8">
        <v>0</v>
      </c>
      <c r="F1479" s="7" t="s">
        <v>8</v>
      </c>
    </row>
    <row r="1480" s="2" customFormat="1" ht="14.1" customHeight="1" spans="1:6">
      <c r="A1480" s="7" t="str">
        <f>"2102605008"</f>
        <v>2102605008</v>
      </c>
      <c r="B1480" s="7" t="str">
        <f t="shared" si="79"/>
        <v>2021026</v>
      </c>
      <c r="C1480" s="7" t="str">
        <f t="shared" si="81"/>
        <v>050</v>
      </c>
      <c r="D1480" s="7" t="str">
        <f>"08"</f>
        <v>08</v>
      </c>
      <c r="E1480" s="8">
        <v>0</v>
      </c>
      <c r="F1480" s="7" t="s">
        <v>8</v>
      </c>
    </row>
    <row r="1481" s="2" customFormat="1" ht="14.1" customHeight="1" spans="1:6">
      <c r="A1481" s="7" t="str">
        <f>"2102605009"</f>
        <v>2102605009</v>
      </c>
      <c r="B1481" s="7" t="str">
        <f t="shared" si="79"/>
        <v>2021026</v>
      </c>
      <c r="C1481" s="7" t="str">
        <f t="shared" si="81"/>
        <v>050</v>
      </c>
      <c r="D1481" s="7" t="str">
        <f>"09"</f>
        <v>09</v>
      </c>
      <c r="E1481" s="8">
        <v>0</v>
      </c>
      <c r="F1481" s="7" t="s">
        <v>8</v>
      </c>
    </row>
    <row r="1482" s="2" customFormat="1" ht="14.1" customHeight="1" spans="1:6">
      <c r="A1482" s="7" t="str">
        <f>"2102605010"</f>
        <v>2102605010</v>
      </c>
      <c r="B1482" s="7" t="str">
        <f t="shared" si="79"/>
        <v>2021026</v>
      </c>
      <c r="C1482" s="7" t="str">
        <f t="shared" si="81"/>
        <v>050</v>
      </c>
      <c r="D1482" s="7" t="str">
        <f>"10"</f>
        <v>10</v>
      </c>
      <c r="E1482" s="8">
        <v>46.9</v>
      </c>
      <c r="F1482" s="7" t="s">
        <v>7</v>
      </c>
    </row>
    <row r="1483" s="2" customFormat="1" ht="14.1" customHeight="1" spans="1:6">
      <c r="A1483" s="7" t="str">
        <f>"2102605011"</f>
        <v>2102605011</v>
      </c>
      <c r="B1483" s="7" t="str">
        <f t="shared" si="79"/>
        <v>2021026</v>
      </c>
      <c r="C1483" s="7" t="str">
        <f t="shared" si="81"/>
        <v>050</v>
      </c>
      <c r="D1483" s="7" t="str">
        <f>"11"</f>
        <v>11</v>
      </c>
      <c r="E1483" s="8">
        <v>0</v>
      </c>
      <c r="F1483" s="7" t="s">
        <v>8</v>
      </c>
    </row>
    <row r="1484" s="2" customFormat="1" ht="14.1" customHeight="1" spans="1:6">
      <c r="A1484" s="7" t="str">
        <f>"2102605012"</f>
        <v>2102605012</v>
      </c>
      <c r="B1484" s="7" t="str">
        <f t="shared" si="79"/>
        <v>2021026</v>
      </c>
      <c r="C1484" s="7" t="str">
        <f t="shared" si="81"/>
        <v>050</v>
      </c>
      <c r="D1484" s="7" t="str">
        <f>"12"</f>
        <v>12</v>
      </c>
      <c r="E1484" s="8">
        <v>66.8</v>
      </c>
      <c r="F1484" s="7" t="s">
        <v>7</v>
      </c>
    </row>
    <row r="1485" s="2" customFormat="1" ht="14.1" customHeight="1" spans="1:6">
      <c r="A1485" s="7" t="str">
        <f>"2102605013"</f>
        <v>2102605013</v>
      </c>
      <c r="B1485" s="7" t="str">
        <f t="shared" si="79"/>
        <v>2021026</v>
      </c>
      <c r="C1485" s="7" t="str">
        <f t="shared" si="81"/>
        <v>050</v>
      </c>
      <c r="D1485" s="7" t="str">
        <f>"13"</f>
        <v>13</v>
      </c>
      <c r="E1485" s="8">
        <v>0</v>
      </c>
      <c r="F1485" s="7" t="s">
        <v>8</v>
      </c>
    </row>
    <row r="1486" s="2" customFormat="1" ht="14.1" customHeight="1" spans="1:6">
      <c r="A1486" s="7" t="str">
        <f>"2102605014"</f>
        <v>2102605014</v>
      </c>
      <c r="B1486" s="7" t="str">
        <f t="shared" si="79"/>
        <v>2021026</v>
      </c>
      <c r="C1486" s="7" t="str">
        <f t="shared" si="81"/>
        <v>050</v>
      </c>
      <c r="D1486" s="7" t="str">
        <f>"14"</f>
        <v>14</v>
      </c>
      <c r="E1486" s="8">
        <v>53</v>
      </c>
      <c r="F1486" s="7" t="s">
        <v>7</v>
      </c>
    </row>
    <row r="1487" s="2" customFormat="1" ht="14.1" customHeight="1" spans="1:6">
      <c r="A1487" s="7" t="str">
        <f>"2102605015"</f>
        <v>2102605015</v>
      </c>
      <c r="B1487" s="7" t="str">
        <f t="shared" si="79"/>
        <v>2021026</v>
      </c>
      <c r="C1487" s="7" t="str">
        <f t="shared" si="81"/>
        <v>050</v>
      </c>
      <c r="D1487" s="7" t="str">
        <f>"15"</f>
        <v>15</v>
      </c>
      <c r="E1487" s="8">
        <v>62.4</v>
      </c>
      <c r="F1487" s="7" t="s">
        <v>7</v>
      </c>
    </row>
    <row r="1488" s="2" customFormat="1" ht="14.1" customHeight="1" spans="1:6">
      <c r="A1488" s="7" t="str">
        <f>"2102605016"</f>
        <v>2102605016</v>
      </c>
      <c r="B1488" s="7" t="str">
        <f t="shared" si="79"/>
        <v>2021026</v>
      </c>
      <c r="C1488" s="7" t="str">
        <f t="shared" si="81"/>
        <v>050</v>
      </c>
      <c r="D1488" s="7" t="str">
        <f>"16"</f>
        <v>16</v>
      </c>
      <c r="E1488" s="8">
        <v>0</v>
      </c>
      <c r="F1488" s="7" t="s">
        <v>8</v>
      </c>
    </row>
    <row r="1489" s="2" customFormat="1" ht="14.1" customHeight="1" spans="1:6">
      <c r="A1489" s="7" t="str">
        <f>"2102605017"</f>
        <v>2102605017</v>
      </c>
      <c r="B1489" s="7" t="str">
        <f t="shared" si="79"/>
        <v>2021026</v>
      </c>
      <c r="C1489" s="7" t="str">
        <f t="shared" si="81"/>
        <v>050</v>
      </c>
      <c r="D1489" s="7" t="str">
        <f>"17"</f>
        <v>17</v>
      </c>
      <c r="E1489" s="8">
        <v>72.3</v>
      </c>
      <c r="F1489" s="7" t="s">
        <v>7</v>
      </c>
    </row>
    <row r="1490" s="2" customFormat="1" ht="14.1" customHeight="1" spans="1:6">
      <c r="A1490" s="7" t="str">
        <f>"2102605018"</f>
        <v>2102605018</v>
      </c>
      <c r="B1490" s="7" t="str">
        <f t="shared" si="79"/>
        <v>2021026</v>
      </c>
      <c r="C1490" s="7" t="str">
        <f t="shared" si="81"/>
        <v>050</v>
      </c>
      <c r="D1490" s="7" t="str">
        <f>"18"</f>
        <v>18</v>
      </c>
      <c r="E1490" s="8">
        <v>59.8</v>
      </c>
      <c r="F1490" s="7" t="s">
        <v>7</v>
      </c>
    </row>
    <row r="1491" s="2" customFormat="1" ht="14.1" customHeight="1" spans="1:6">
      <c r="A1491" s="7" t="str">
        <f>"2102605019"</f>
        <v>2102605019</v>
      </c>
      <c r="B1491" s="7" t="str">
        <f t="shared" si="79"/>
        <v>2021026</v>
      </c>
      <c r="C1491" s="7" t="str">
        <f t="shared" si="81"/>
        <v>050</v>
      </c>
      <c r="D1491" s="7" t="str">
        <f>"19"</f>
        <v>19</v>
      </c>
      <c r="E1491" s="8">
        <v>0</v>
      </c>
      <c r="F1491" s="7" t="s">
        <v>8</v>
      </c>
    </row>
    <row r="1492" s="2" customFormat="1" ht="14.1" customHeight="1" spans="1:6">
      <c r="A1492" s="7" t="str">
        <f>"2102605020"</f>
        <v>2102605020</v>
      </c>
      <c r="B1492" s="7" t="str">
        <f t="shared" si="79"/>
        <v>2021026</v>
      </c>
      <c r="C1492" s="7" t="str">
        <f t="shared" si="81"/>
        <v>050</v>
      </c>
      <c r="D1492" s="7" t="str">
        <f>"20"</f>
        <v>20</v>
      </c>
      <c r="E1492" s="8">
        <v>0</v>
      </c>
      <c r="F1492" s="7" t="s">
        <v>8</v>
      </c>
    </row>
    <row r="1493" s="2" customFormat="1" ht="14.1" customHeight="1" spans="1:6">
      <c r="A1493" s="7" t="str">
        <f>"2102605021"</f>
        <v>2102605021</v>
      </c>
      <c r="B1493" s="7" t="str">
        <f t="shared" si="79"/>
        <v>2021026</v>
      </c>
      <c r="C1493" s="7" t="str">
        <f t="shared" si="81"/>
        <v>050</v>
      </c>
      <c r="D1493" s="7" t="str">
        <f>"21"</f>
        <v>21</v>
      </c>
      <c r="E1493" s="8">
        <v>68.4</v>
      </c>
      <c r="F1493" s="7" t="s">
        <v>7</v>
      </c>
    </row>
    <row r="1494" s="2" customFormat="1" ht="14.1" customHeight="1" spans="1:6">
      <c r="A1494" s="7" t="str">
        <f>"2102605022"</f>
        <v>2102605022</v>
      </c>
      <c r="B1494" s="7" t="str">
        <f t="shared" si="79"/>
        <v>2021026</v>
      </c>
      <c r="C1494" s="7" t="str">
        <f t="shared" si="81"/>
        <v>050</v>
      </c>
      <c r="D1494" s="7" t="str">
        <f>"22"</f>
        <v>22</v>
      </c>
      <c r="E1494" s="8">
        <v>0</v>
      </c>
      <c r="F1494" s="7" t="s">
        <v>8</v>
      </c>
    </row>
    <row r="1495" s="2" customFormat="1" ht="14.1" customHeight="1" spans="1:6">
      <c r="A1495" s="7" t="str">
        <f>"2102605023"</f>
        <v>2102605023</v>
      </c>
      <c r="B1495" s="7" t="str">
        <f t="shared" si="79"/>
        <v>2021026</v>
      </c>
      <c r="C1495" s="7" t="str">
        <f t="shared" si="81"/>
        <v>050</v>
      </c>
      <c r="D1495" s="7" t="str">
        <f>"23"</f>
        <v>23</v>
      </c>
      <c r="E1495" s="8">
        <v>71</v>
      </c>
      <c r="F1495" s="7" t="s">
        <v>7</v>
      </c>
    </row>
    <row r="1496" s="2" customFormat="1" ht="14.1" customHeight="1" spans="1:6">
      <c r="A1496" s="7" t="str">
        <f>"2102605024"</f>
        <v>2102605024</v>
      </c>
      <c r="B1496" s="7" t="str">
        <f t="shared" si="79"/>
        <v>2021026</v>
      </c>
      <c r="C1496" s="7" t="str">
        <f t="shared" si="81"/>
        <v>050</v>
      </c>
      <c r="D1496" s="7" t="str">
        <f>"24"</f>
        <v>24</v>
      </c>
      <c r="E1496" s="8">
        <v>53.8</v>
      </c>
      <c r="F1496" s="7" t="s">
        <v>7</v>
      </c>
    </row>
    <row r="1497" s="2" customFormat="1" ht="14.1" customHeight="1" spans="1:6">
      <c r="A1497" s="7" t="str">
        <f>"2102605025"</f>
        <v>2102605025</v>
      </c>
      <c r="B1497" s="7" t="str">
        <f t="shared" si="79"/>
        <v>2021026</v>
      </c>
      <c r="C1497" s="7" t="str">
        <f t="shared" si="81"/>
        <v>050</v>
      </c>
      <c r="D1497" s="7" t="str">
        <f>"25"</f>
        <v>25</v>
      </c>
      <c r="E1497" s="8">
        <v>56.2</v>
      </c>
      <c r="F1497" s="7" t="s">
        <v>7</v>
      </c>
    </row>
    <row r="1498" s="2" customFormat="1" ht="14.1" customHeight="1" spans="1:6">
      <c r="A1498" s="7" t="str">
        <f>"2102605026"</f>
        <v>2102605026</v>
      </c>
      <c r="B1498" s="7" t="str">
        <f t="shared" si="79"/>
        <v>2021026</v>
      </c>
      <c r="C1498" s="7" t="str">
        <f t="shared" si="81"/>
        <v>050</v>
      </c>
      <c r="D1498" s="7" t="str">
        <f>"26"</f>
        <v>26</v>
      </c>
      <c r="E1498" s="8">
        <v>62.3</v>
      </c>
      <c r="F1498" s="7" t="s">
        <v>7</v>
      </c>
    </row>
    <row r="1499" s="2" customFormat="1" ht="14.1" customHeight="1" spans="1:6">
      <c r="A1499" s="7" t="str">
        <f>"2102605027"</f>
        <v>2102605027</v>
      </c>
      <c r="B1499" s="7" t="str">
        <f t="shared" si="79"/>
        <v>2021026</v>
      </c>
      <c r="C1499" s="7" t="str">
        <f t="shared" si="81"/>
        <v>050</v>
      </c>
      <c r="D1499" s="7" t="str">
        <f>"27"</f>
        <v>27</v>
      </c>
      <c r="E1499" s="8">
        <v>63.5</v>
      </c>
      <c r="F1499" s="7" t="s">
        <v>7</v>
      </c>
    </row>
    <row r="1500" s="2" customFormat="1" ht="14.1" customHeight="1" spans="1:6">
      <c r="A1500" s="7" t="str">
        <f>"2102605028"</f>
        <v>2102605028</v>
      </c>
      <c r="B1500" s="7" t="str">
        <f t="shared" si="79"/>
        <v>2021026</v>
      </c>
      <c r="C1500" s="7" t="str">
        <f t="shared" si="81"/>
        <v>050</v>
      </c>
      <c r="D1500" s="7" t="str">
        <f>"28"</f>
        <v>28</v>
      </c>
      <c r="E1500" s="8">
        <v>63.4</v>
      </c>
      <c r="F1500" s="7" t="s">
        <v>7</v>
      </c>
    </row>
    <row r="1501" s="2" customFormat="1" ht="14.1" customHeight="1" spans="1:6">
      <c r="A1501" s="7" t="str">
        <f>"2102605029"</f>
        <v>2102605029</v>
      </c>
      <c r="B1501" s="7" t="str">
        <f t="shared" si="79"/>
        <v>2021026</v>
      </c>
      <c r="C1501" s="7" t="str">
        <f t="shared" si="81"/>
        <v>050</v>
      </c>
      <c r="D1501" s="7" t="str">
        <f>"29"</f>
        <v>29</v>
      </c>
      <c r="E1501" s="8">
        <v>62.6</v>
      </c>
      <c r="F1501" s="7" t="s">
        <v>7</v>
      </c>
    </row>
    <row r="1502" s="2" customFormat="1" ht="14.1" customHeight="1" spans="1:6">
      <c r="A1502" s="7" t="str">
        <f>"2102605030"</f>
        <v>2102605030</v>
      </c>
      <c r="B1502" s="7" t="str">
        <f t="shared" si="79"/>
        <v>2021026</v>
      </c>
      <c r="C1502" s="7" t="str">
        <f t="shared" si="81"/>
        <v>050</v>
      </c>
      <c r="D1502" s="7" t="str">
        <f>"30"</f>
        <v>30</v>
      </c>
      <c r="E1502" s="8">
        <v>0</v>
      </c>
      <c r="F1502" s="7" t="s">
        <v>8</v>
      </c>
    </row>
    <row r="1503" s="2" customFormat="1" ht="14.1" customHeight="1" spans="1:6">
      <c r="A1503" s="7" t="str">
        <f>"2102605101"</f>
        <v>2102605101</v>
      </c>
      <c r="B1503" s="7" t="str">
        <f t="shared" si="79"/>
        <v>2021026</v>
      </c>
      <c r="C1503" s="7" t="str">
        <f t="shared" ref="C1503:C1532" si="82">"051"</f>
        <v>051</v>
      </c>
      <c r="D1503" s="7" t="str">
        <f>"01"</f>
        <v>01</v>
      </c>
      <c r="E1503" s="8">
        <v>53.8</v>
      </c>
      <c r="F1503" s="7" t="s">
        <v>7</v>
      </c>
    </row>
    <row r="1504" s="2" customFormat="1" ht="14.1" customHeight="1" spans="1:6">
      <c r="A1504" s="7" t="str">
        <f>"2102605102"</f>
        <v>2102605102</v>
      </c>
      <c r="B1504" s="7" t="str">
        <f t="shared" si="79"/>
        <v>2021026</v>
      </c>
      <c r="C1504" s="7" t="str">
        <f t="shared" si="82"/>
        <v>051</v>
      </c>
      <c r="D1504" s="7" t="str">
        <f>"02"</f>
        <v>02</v>
      </c>
      <c r="E1504" s="8">
        <v>54.8</v>
      </c>
      <c r="F1504" s="7" t="s">
        <v>7</v>
      </c>
    </row>
    <row r="1505" s="2" customFormat="1" ht="14.1" customHeight="1" spans="1:6">
      <c r="A1505" s="7" t="str">
        <f>"2102605103"</f>
        <v>2102605103</v>
      </c>
      <c r="B1505" s="7" t="str">
        <f t="shared" si="79"/>
        <v>2021026</v>
      </c>
      <c r="C1505" s="7" t="str">
        <f t="shared" si="82"/>
        <v>051</v>
      </c>
      <c r="D1505" s="7" t="str">
        <f>"03"</f>
        <v>03</v>
      </c>
      <c r="E1505" s="8">
        <v>67.1</v>
      </c>
      <c r="F1505" s="7" t="s">
        <v>7</v>
      </c>
    </row>
    <row r="1506" s="2" customFormat="1" ht="14.1" customHeight="1" spans="1:6">
      <c r="A1506" s="7" t="str">
        <f>"2102605104"</f>
        <v>2102605104</v>
      </c>
      <c r="B1506" s="7" t="str">
        <f t="shared" si="79"/>
        <v>2021026</v>
      </c>
      <c r="C1506" s="7" t="str">
        <f t="shared" si="82"/>
        <v>051</v>
      </c>
      <c r="D1506" s="7" t="str">
        <f>"04"</f>
        <v>04</v>
      </c>
      <c r="E1506" s="8">
        <v>57.5</v>
      </c>
      <c r="F1506" s="7" t="s">
        <v>7</v>
      </c>
    </row>
    <row r="1507" s="2" customFormat="1" ht="14.1" customHeight="1" spans="1:6">
      <c r="A1507" s="7" t="str">
        <f>"2102605105"</f>
        <v>2102605105</v>
      </c>
      <c r="B1507" s="7" t="str">
        <f t="shared" ref="B1507:B1570" si="83">"2021026"</f>
        <v>2021026</v>
      </c>
      <c r="C1507" s="7" t="str">
        <f t="shared" si="82"/>
        <v>051</v>
      </c>
      <c r="D1507" s="7" t="str">
        <f>"05"</f>
        <v>05</v>
      </c>
      <c r="E1507" s="8">
        <v>61.2</v>
      </c>
      <c r="F1507" s="7" t="s">
        <v>7</v>
      </c>
    </row>
    <row r="1508" s="2" customFormat="1" ht="14.1" customHeight="1" spans="1:6">
      <c r="A1508" s="7" t="str">
        <f>"2102605106"</f>
        <v>2102605106</v>
      </c>
      <c r="B1508" s="7" t="str">
        <f t="shared" si="83"/>
        <v>2021026</v>
      </c>
      <c r="C1508" s="7" t="str">
        <f t="shared" si="82"/>
        <v>051</v>
      </c>
      <c r="D1508" s="7" t="str">
        <f>"06"</f>
        <v>06</v>
      </c>
      <c r="E1508" s="8">
        <v>49.2</v>
      </c>
      <c r="F1508" s="7" t="s">
        <v>7</v>
      </c>
    </row>
    <row r="1509" s="2" customFormat="1" ht="14.1" customHeight="1" spans="1:6">
      <c r="A1509" s="7" t="str">
        <f>"2102605107"</f>
        <v>2102605107</v>
      </c>
      <c r="B1509" s="7" t="str">
        <f t="shared" si="83"/>
        <v>2021026</v>
      </c>
      <c r="C1509" s="7" t="str">
        <f t="shared" si="82"/>
        <v>051</v>
      </c>
      <c r="D1509" s="7" t="str">
        <f>"07"</f>
        <v>07</v>
      </c>
      <c r="E1509" s="8">
        <v>0</v>
      </c>
      <c r="F1509" s="7" t="s">
        <v>8</v>
      </c>
    </row>
    <row r="1510" s="2" customFormat="1" ht="14.1" customHeight="1" spans="1:6">
      <c r="A1510" s="7" t="str">
        <f>"2102605108"</f>
        <v>2102605108</v>
      </c>
      <c r="B1510" s="7" t="str">
        <f t="shared" si="83"/>
        <v>2021026</v>
      </c>
      <c r="C1510" s="7" t="str">
        <f t="shared" si="82"/>
        <v>051</v>
      </c>
      <c r="D1510" s="7" t="str">
        <f>"08"</f>
        <v>08</v>
      </c>
      <c r="E1510" s="8">
        <v>57.3</v>
      </c>
      <c r="F1510" s="7" t="s">
        <v>7</v>
      </c>
    </row>
    <row r="1511" s="2" customFormat="1" ht="14.1" customHeight="1" spans="1:6">
      <c r="A1511" s="7" t="str">
        <f>"2102605109"</f>
        <v>2102605109</v>
      </c>
      <c r="B1511" s="7" t="str">
        <f t="shared" si="83"/>
        <v>2021026</v>
      </c>
      <c r="C1511" s="7" t="str">
        <f t="shared" si="82"/>
        <v>051</v>
      </c>
      <c r="D1511" s="7" t="str">
        <f>"09"</f>
        <v>09</v>
      </c>
      <c r="E1511" s="8">
        <v>0</v>
      </c>
      <c r="F1511" s="7" t="s">
        <v>8</v>
      </c>
    </row>
    <row r="1512" s="2" customFormat="1" ht="14.1" customHeight="1" spans="1:6">
      <c r="A1512" s="7" t="str">
        <f>"2102605110"</f>
        <v>2102605110</v>
      </c>
      <c r="B1512" s="7" t="str">
        <f t="shared" si="83"/>
        <v>2021026</v>
      </c>
      <c r="C1512" s="7" t="str">
        <f t="shared" si="82"/>
        <v>051</v>
      </c>
      <c r="D1512" s="7" t="str">
        <f>"10"</f>
        <v>10</v>
      </c>
      <c r="E1512" s="8">
        <v>0</v>
      </c>
      <c r="F1512" s="7" t="s">
        <v>8</v>
      </c>
    </row>
    <row r="1513" s="2" customFormat="1" ht="14.1" customHeight="1" spans="1:6">
      <c r="A1513" s="7" t="str">
        <f>"2102605111"</f>
        <v>2102605111</v>
      </c>
      <c r="B1513" s="7" t="str">
        <f t="shared" si="83"/>
        <v>2021026</v>
      </c>
      <c r="C1513" s="7" t="str">
        <f t="shared" si="82"/>
        <v>051</v>
      </c>
      <c r="D1513" s="7" t="str">
        <f>"11"</f>
        <v>11</v>
      </c>
      <c r="E1513" s="8">
        <v>52.8</v>
      </c>
      <c r="F1513" s="7" t="s">
        <v>7</v>
      </c>
    </row>
    <row r="1514" s="2" customFormat="1" ht="14.1" customHeight="1" spans="1:6">
      <c r="A1514" s="7" t="str">
        <f>"2102605112"</f>
        <v>2102605112</v>
      </c>
      <c r="B1514" s="7" t="str">
        <f t="shared" si="83"/>
        <v>2021026</v>
      </c>
      <c r="C1514" s="7" t="str">
        <f t="shared" si="82"/>
        <v>051</v>
      </c>
      <c r="D1514" s="7" t="str">
        <f>"12"</f>
        <v>12</v>
      </c>
      <c r="E1514" s="8">
        <v>0</v>
      </c>
      <c r="F1514" s="7" t="s">
        <v>8</v>
      </c>
    </row>
    <row r="1515" s="2" customFormat="1" ht="14.1" customHeight="1" spans="1:6">
      <c r="A1515" s="7" t="str">
        <f>"2102605113"</f>
        <v>2102605113</v>
      </c>
      <c r="B1515" s="7" t="str">
        <f t="shared" si="83"/>
        <v>2021026</v>
      </c>
      <c r="C1515" s="7" t="str">
        <f t="shared" si="82"/>
        <v>051</v>
      </c>
      <c r="D1515" s="7" t="str">
        <f>"13"</f>
        <v>13</v>
      </c>
      <c r="E1515" s="8">
        <v>62</v>
      </c>
      <c r="F1515" s="7" t="s">
        <v>7</v>
      </c>
    </row>
    <row r="1516" s="2" customFormat="1" ht="14.1" customHeight="1" spans="1:6">
      <c r="A1516" s="7" t="str">
        <f>"2102605114"</f>
        <v>2102605114</v>
      </c>
      <c r="B1516" s="7" t="str">
        <f t="shared" si="83"/>
        <v>2021026</v>
      </c>
      <c r="C1516" s="7" t="str">
        <f t="shared" si="82"/>
        <v>051</v>
      </c>
      <c r="D1516" s="7" t="str">
        <f>"14"</f>
        <v>14</v>
      </c>
      <c r="E1516" s="8">
        <v>0</v>
      </c>
      <c r="F1516" s="7" t="s">
        <v>8</v>
      </c>
    </row>
    <row r="1517" s="2" customFormat="1" ht="14.1" customHeight="1" spans="1:6">
      <c r="A1517" s="7" t="str">
        <f>"2102605115"</f>
        <v>2102605115</v>
      </c>
      <c r="B1517" s="7" t="str">
        <f t="shared" si="83"/>
        <v>2021026</v>
      </c>
      <c r="C1517" s="7" t="str">
        <f t="shared" si="82"/>
        <v>051</v>
      </c>
      <c r="D1517" s="7" t="str">
        <f>"15"</f>
        <v>15</v>
      </c>
      <c r="E1517" s="8">
        <v>60.9</v>
      </c>
      <c r="F1517" s="7" t="s">
        <v>7</v>
      </c>
    </row>
    <row r="1518" s="2" customFormat="1" ht="14.1" customHeight="1" spans="1:6">
      <c r="A1518" s="7" t="str">
        <f>"2102605116"</f>
        <v>2102605116</v>
      </c>
      <c r="B1518" s="7" t="str">
        <f t="shared" si="83"/>
        <v>2021026</v>
      </c>
      <c r="C1518" s="7" t="str">
        <f t="shared" si="82"/>
        <v>051</v>
      </c>
      <c r="D1518" s="7" t="str">
        <f>"16"</f>
        <v>16</v>
      </c>
      <c r="E1518" s="8">
        <v>0</v>
      </c>
      <c r="F1518" s="7" t="s">
        <v>8</v>
      </c>
    </row>
    <row r="1519" s="2" customFormat="1" ht="14.1" customHeight="1" spans="1:6">
      <c r="A1519" s="7" t="str">
        <f>"2102605117"</f>
        <v>2102605117</v>
      </c>
      <c r="B1519" s="7" t="str">
        <f t="shared" si="83"/>
        <v>2021026</v>
      </c>
      <c r="C1519" s="7" t="str">
        <f t="shared" si="82"/>
        <v>051</v>
      </c>
      <c r="D1519" s="7" t="str">
        <f>"17"</f>
        <v>17</v>
      </c>
      <c r="E1519" s="8">
        <v>0</v>
      </c>
      <c r="F1519" s="7" t="s">
        <v>8</v>
      </c>
    </row>
    <row r="1520" s="2" customFormat="1" ht="14.1" customHeight="1" spans="1:6">
      <c r="A1520" s="7" t="str">
        <f>"2102605118"</f>
        <v>2102605118</v>
      </c>
      <c r="B1520" s="7" t="str">
        <f t="shared" si="83"/>
        <v>2021026</v>
      </c>
      <c r="C1520" s="7" t="str">
        <f t="shared" si="82"/>
        <v>051</v>
      </c>
      <c r="D1520" s="7" t="str">
        <f>"18"</f>
        <v>18</v>
      </c>
      <c r="E1520" s="8">
        <v>0</v>
      </c>
      <c r="F1520" s="7" t="s">
        <v>8</v>
      </c>
    </row>
    <row r="1521" s="2" customFormat="1" ht="14.1" customHeight="1" spans="1:6">
      <c r="A1521" s="7" t="str">
        <f>"2102605119"</f>
        <v>2102605119</v>
      </c>
      <c r="B1521" s="7" t="str">
        <f t="shared" si="83"/>
        <v>2021026</v>
      </c>
      <c r="C1521" s="7" t="str">
        <f t="shared" si="82"/>
        <v>051</v>
      </c>
      <c r="D1521" s="7" t="str">
        <f>"19"</f>
        <v>19</v>
      </c>
      <c r="E1521" s="8">
        <v>60.6</v>
      </c>
      <c r="F1521" s="7" t="s">
        <v>7</v>
      </c>
    </row>
    <row r="1522" s="2" customFormat="1" ht="14.1" customHeight="1" spans="1:6">
      <c r="A1522" s="7" t="str">
        <f>"2102605120"</f>
        <v>2102605120</v>
      </c>
      <c r="B1522" s="7" t="str">
        <f t="shared" si="83"/>
        <v>2021026</v>
      </c>
      <c r="C1522" s="7" t="str">
        <f t="shared" si="82"/>
        <v>051</v>
      </c>
      <c r="D1522" s="7" t="str">
        <f>"20"</f>
        <v>20</v>
      </c>
      <c r="E1522" s="8">
        <v>0</v>
      </c>
      <c r="F1522" s="7" t="s">
        <v>8</v>
      </c>
    </row>
    <row r="1523" s="2" customFormat="1" ht="14.1" customHeight="1" spans="1:6">
      <c r="A1523" s="7" t="str">
        <f>"2102605121"</f>
        <v>2102605121</v>
      </c>
      <c r="B1523" s="7" t="str">
        <f t="shared" si="83"/>
        <v>2021026</v>
      </c>
      <c r="C1523" s="7" t="str">
        <f t="shared" si="82"/>
        <v>051</v>
      </c>
      <c r="D1523" s="7" t="str">
        <f>"21"</f>
        <v>21</v>
      </c>
      <c r="E1523" s="8">
        <v>58.9</v>
      </c>
      <c r="F1523" s="7" t="s">
        <v>7</v>
      </c>
    </row>
    <row r="1524" s="2" customFormat="1" ht="14.1" customHeight="1" spans="1:6">
      <c r="A1524" s="7" t="str">
        <f>"2102605122"</f>
        <v>2102605122</v>
      </c>
      <c r="B1524" s="7" t="str">
        <f t="shared" si="83"/>
        <v>2021026</v>
      </c>
      <c r="C1524" s="7" t="str">
        <f t="shared" si="82"/>
        <v>051</v>
      </c>
      <c r="D1524" s="7" t="str">
        <f>"22"</f>
        <v>22</v>
      </c>
      <c r="E1524" s="8">
        <v>0</v>
      </c>
      <c r="F1524" s="7" t="s">
        <v>8</v>
      </c>
    </row>
    <row r="1525" s="2" customFormat="1" ht="14.1" customHeight="1" spans="1:6">
      <c r="A1525" s="7" t="str">
        <f>"2102605123"</f>
        <v>2102605123</v>
      </c>
      <c r="B1525" s="7" t="str">
        <f t="shared" si="83"/>
        <v>2021026</v>
      </c>
      <c r="C1525" s="7" t="str">
        <f t="shared" si="82"/>
        <v>051</v>
      </c>
      <c r="D1525" s="7" t="str">
        <f>"23"</f>
        <v>23</v>
      </c>
      <c r="E1525" s="8">
        <v>63.9</v>
      </c>
      <c r="F1525" s="7" t="s">
        <v>7</v>
      </c>
    </row>
    <row r="1526" s="2" customFormat="1" ht="14.1" customHeight="1" spans="1:6">
      <c r="A1526" s="7" t="str">
        <f>"2102605124"</f>
        <v>2102605124</v>
      </c>
      <c r="B1526" s="7" t="str">
        <f t="shared" si="83"/>
        <v>2021026</v>
      </c>
      <c r="C1526" s="7" t="str">
        <f t="shared" si="82"/>
        <v>051</v>
      </c>
      <c r="D1526" s="7" t="str">
        <f>"24"</f>
        <v>24</v>
      </c>
      <c r="E1526" s="8">
        <v>57.2</v>
      </c>
      <c r="F1526" s="7" t="s">
        <v>7</v>
      </c>
    </row>
    <row r="1527" s="2" customFormat="1" ht="14.1" customHeight="1" spans="1:6">
      <c r="A1527" s="7" t="str">
        <f>"2102605125"</f>
        <v>2102605125</v>
      </c>
      <c r="B1527" s="7" t="str">
        <f t="shared" si="83"/>
        <v>2021026</v>
      </c>
      <c r="C1527" s="7" t="str">
        <f t="shared" si="82"/>
        <v>051</v>
      </c>
      <c r="D1527" s="7" t="str">
        <f>"25"</f>
        <v>25</v>
      </c>
      <c r="E1527" s="8">
        <v>52.2</v>
      </c>
      <c r="F1527" s="7" t="s">
        <v>7</v>
      </c>
    </row>
    <row r="1528" s="2" customFormat="1" ht="14.1" customHeight="1" spans="1:6">
      <c r="A1528" s="7" t="str">
        <f>"2102605126"</f>
        <v>2102605126</v>
      </c>
      <c r="B1528" s="7" t="str">
        <f t="shared" si="83"/>
        <v>2021026</v>
      </c>
      <c r="C1528" s="7" t="str">
        <f t="shared" si="82"/>
        <v>051</v>
      </c>
      <c r="D1528" s="7" t="str">
        <f>"26"</f>
        <v>26</v>
      </c>
      <c r="E1528" s="8">
        <v>60.4</v>
      </c>
      <c r="F1528" s="7" t="s">
        <v>7</v>
      </c>
    </row>
    <row r="1529" s="2" customFormat="1" ht="14.1" customHeight="1" spans="1:6">
      <c r="A1529" s="7" t="str">
        <f>"2102605127"</f>
        <v>2102605127</v>
      </c>
      <c r="B1529" s="7" t="str">
        <f t="shared" si="83"/>
        <v>2021026</v>
      </c>
      <c r="C1529" s="7" t="str">
        <f t="shared" si="82"/>
        <v>051</v>
      </c>
      <c r="D1529" s="7" t="str">
        <f>"27"</f>
        <v>27</v>
      </c>
      <c r="E1529" s="8">
        <v>57.3</v>
      </c>
      <c r="F1529" s="7" t="s">
        <v>7</v>
      </c>
    </row>
    <row r="1530" s="2" customFormat="1" ht="14.1" customHeight="1" spans="1:6">
      <c r="A1530" s="7" t="str">
        <f>"2102605128"</f>
        <v>2102605128</v>
      </c>
      <c r="B1530" s="7" t="str">
        <f t="shared" si="83"/>
        <v>2021026</v>
      </c>
      <c r="C1530" s="7" t="str">
        <f t="shared" si="82"/>
        <v>051</v>
      </c>
      <c r="D1530" s="7" t="str">
        <f>"28"</f>
        <v>28</v>
      </c>
      <c r="E1530" s="8">
        <v>0</v>
      </c>
      <c r="F1530" s="7" t="s">
        <v>8</v>
      </c>
    </row>
    <row r="1531" s="2" customFormat="1" ht="14.1" customHeight="1" spans="1:6">
      <c r="A1531" s="7" t="str">
        <f>"2102605129"</f>
        <v>2102605129</v>
      </c>
      <c r="B1531" s="7" t="str">
        <f t="shared" si="83"/>
        <v>2021026</v>
      </c>
      <c r="C1531" s="7" t="str">
        <f t="shared" si="82"/>
        <v>051</v>
      </c>
      <c r="D1531" s="7" t="str">
        <f>"29"</f>
        <v>29</v>
      </c>
      <c r="E1531" s="8">
        <v>0</v>
      </c>
      <c r="F1531" s="7" t="s">
        <v>8</v>
      </c>
    </row>
    <row r="1532" s="2" customFormat="1" ht="14.1" customHeight="1" spans="1:6">
      <c r="A1532" s="7" t="str">
        <f>"2102605130"</f>
        <v>2102605130</v>
      </c>
      <c r="B1532" s="7" t="str">
        <f t="shared" si="83"/>
        <v>2021026</v>
      </c>
      <c r="C1532" s="7" t="str">
        <f t="shared" si="82"/>
        <v>051</v>
      </c>
      <c r="D1532" s="7" t="str">
        <f>"30"</f>
        <v>30</v>
      </c>
      <c r="E1532" s="8">
        <v>45.5</v>
      </c>
      <c r="F1532" s="7" t="s">
        <v>7</v>
      </c>
    </row>
    <row r="1533" s="2" customFormat="1" ht="14.1" customHeight="1" spans="1:6">
      <c r="A1533" s="7" t="str">
        <f>"2102605201"</f>
        <v>2102605201</v>
      </c>
      <c r="B1533" s="7" t="str">
        <f t="shared" si="83"/>
        <v>2021026</v>
      </c>
      <c r="C1533" s="7" t="str">
        <f t="shared" ref="C1533:C1562" si="84">"052"</f>
        <v>052</v>
      </c>
      <c r="D1533" s="7" t="str">
        <f>"01"</f>
        <v>01</v>
      </c>
      <c r="E1533" s="8">
        <v>54.2</v>
      </c>
      <c r="F1533" s="7" t="s">
        <v>7</v>
      </c>
    </row>
    <row r="1534" s="2" customFormat="1" ht="14.1" customHeight="1" spans="1:6">
      <c r="A1534" s="7" t="str">
        <f>"2102605202"</f>
        <v>2102605202</v>
      </c>
      <c r="B1534" s="7" t="str">
        <f t="shared" si="83"/>
        <v>2021026</v>
      </c>
      <c r="C1534" s="7" t="str">
        <f t="shared" si="84"/>
        <v>052</v>
      </c>
      <c r="D1534" s="7" t="str">
        <f>"02"</f>
        <v>02</v>
      </c>
      <c r="E1534" s="8">
        <v>0</v>
      </c>
      <c r="F1534" s="7" t="s">
        <v>8</v>
      </c>
    </row>
    <row r="1535" s="2" customFormat="1" ht="14.1" customHeight="1" spans="1:6">
      <c r="A1535" s="7" t="str">
        <f>"2102605203"</f>
        <v>2102605203</v>
      </c>
      <c r="B1535" s="7" t="str">
        <f t="shared" si="83"/>
        <v>2021026</v>
      </c>
      <c r="C1535" s="7" t="str">
        <f t="shared" si="84"/>
        <v>052</v>
      </c>
      <c r="D1535" s="7" t="str">
        <f>"03"</f>
        <v>03</v>
      </c>
      <c r="E1535" s="8">
        <v>0</v>
      </c>
      <c r="F1535" s="7" t="s">
        <v>8</v>
      </c>
    </row>
    <row r="1536" s="2" customFormat="1" ht="14.1" customHeight="1" spans="1:6">
      <c r="A1536" s="7" t="str">
        <f>"2102605204"</f>
        <v>2102605204</v>
      </c>
      <c r="B1536" s="7" t="str">
        <f t="shared" si="83"/>
        <v>2021026</v>
      </c>
      <c r="C1536" s="7" t="str">
        <f t="shared" si="84"/>
        <v>052</v>
      </c>
      <c r="D1536" s="7" t="str">
        <f>"04"</f>
        <v>04</v>
      </c>
      <c r="E1536" s="8">
        <v>0</v>
      </c>
      <c r="F1536" s="7" t="s">
        <v>8</v>
      </c>
    </row>
    <row r="1537" s="2" customFormat="1" ht="14.1" customHeight="1" spans="1:6">
      <c r="A1537" s="7" t="str">
        <f>"2102605205"</f>
        <v>2102605205</v>
      </c>
      <c r="B1537" s="7" t="str">
        <f t="shared" si="83"/>
        <v>2021026</v>
      </c>
      <c r="C1537" s="7" t="str">
        <f t="shared" si="84"/>
        <v>052</v>
      </c>
      <c r="D1537" s="7" t="str">
        <f>"05"</f>
        <v>05</v>
      </c>
      <c r="E1537" s="8">
        <v>57.6</v>
      </c>
      <c r="F1537" s="7" t="s">
        <v>7</v>
      </c>
    </row>
    <row r="1538" s="2" customFormat="1" ht="14.1" customHeight="1" spans="1:6">
      <c r="A1538" s="7" t="str">
        <f>"2102605206"</f>
        <v>2102605206</v>
      </c>
      <c r="B1538" s="7" t="str">
        <f t="shared" si="83"/>
        <v>2021026</v>
      </c>
      <c r="C1538" s="7" t="str">
        <f t="shared" si="84"/>
        <v>052</v>
      </c>
      <c r="D1538" s="7" t="str">
        <f>"06"</f>
        <v>06</v>
      </c>
      <c r="E1538" s="8">
        <v>0</v>
      </c>
      <c r="F1538" s="7" t="s">
        <v>8</v>
      </c>
    </row>
    <row r="1539" s="2" customFormat="1" ht="14.1" customHeight="1" spans="1:6">
      <c r="A1539" s="7" t="str">
        <f>"2102605207"</f>
        <v>2102605207</v>
      </c>
      <c r="B1539" s="7" t="str">
        <f t="shared" si="83"/>
        <v>2021026</v>
      </c>
      <c r="C1539" s="7" t="str">
        <f t="shared" si="84"/>
        <v>052</v>
      </c>
      <c r="D1539" s="7" t="str">
        <f>"07"</f>
        <v>07</v>
      </c>
      <c r="E1539" s="8">
        <v>55.5</v>
      </c>
      <c r="F1539" s="7" t="s">
        <v>7</v>
      </c>
    </row>
    <row r="1540" s="2" customFormat="1" ht="14.1" customHeight="1" spans="1:6">
      <c r="A1540" s="7" t="str">
        <f>"2102605208"</f>
        <v>2102605208</v>
      </c>
      <c r="B1540" s="7" t="str">
        <f t="shared" si="83"/>
        <v>2021026</v>
      </c>
      <c r="C1540" s="7" t="str">
        <f t="shared" si="84"/>
        <v>052</v>
      </c>
      <c r="D1540" s="7" t="str">
        <f>"08"</f>
        <v>08</v>
      </c>
      <c r="E1540" s="8">
        <v>69.2</v>
      </c>
      <c r="F1540" s="7" t="s">
        <v>7</v>
      </c>
    </row>
    <row r="1541" s="2" customFormat="1" ht="14.1" customHeight="1" spans="1:6">
      <c r="A1541" s="7" t="str">
        <f>"2102605209"</f>
        <v>2102605209</v>
      </c>
      <c r="B1541" s="7" t="str">
        <f t="shared" si="83"/>
        <v>2021026</v>
      </c>
      <c r="C1541" s="7" t="str">
        <f t="shared" si="84"/>
        <v>052</v>
      </c>
      <c r="D1541" s="7" t="str">
        <f>"09"</f>
        <v>09</v>
      </c>
      <c r="E1541" s="8">
        <v>0</v>
      </c>
      <c r="F1541" s="7" t="s">
        <v>8</v>
      </c>
    </row>
    <row r="1542" s="2" customFormat="1" ht="14.1" customHeight="1" spans="1:6">
      <c r="A1542" s="7" t="str">
        <f>"2102605210"</f>
        <v>2102605210</v>
      </c>
      <c r="B1542" s="7" t="str">
        <f t="shared" si="83"/>
        <v>2021026</v>
      </c>
      <c r="C1542" s="7" t="str">
        <f t="shared" si="84"/>
        <v>052</v>
      </c>
      <c r="D1542" s="7" t="str">
        <f>"10"</f>
        <v>10</v>
      </c>
      <c r="E1542" s="8">
        <v>63.2</v>
      </c>
      <c r="F1542" s="7" t="s">
        <v>7</v>
      </c>
    </row>
    <row r="1543" s="2" customFormat="1" ht="14.1" customHeight="1" spans="1:6">
      <c r="A1543" s="7" t="str">
        <f>"2102605211"</f>
        <v>2102605211</v>
      </c>
      <c r="B1543" s="7" t="str">
        <f t="shared" si="83"/>
        <v>2021026</v>
      </c>
      <c r="C1543" s="7" t="str">
        <f t="shared" si="84"/>
        <v>052</v>
      </c>
      <c r="D1543" s="7" t="str">
        <f>"11"</f>
        <v>11</v>
      </c>
      <c r="E1543" s="8">
        <v>62.2</v>
      </c>
      <c r="F1543" s="7" t="s">
        <v>7</v>
      </c>
    </row>
    <row r="1544" s="2" customFormat="1" ht="14.1" customHeight="1" spans="1:6">
      <c r="A1544" s="7" t="str">
        <f>"2102605212"</f>
        <v>2102605212</v>
      </c>
      <c r="B1544" s="7" t="str">
        <f t="shared" si="83"/>
        <v>2021026</v>
      </c>
      <c r="C1544" s="7" t="str">
        <f t="shared" si="84"/>
        <v>052</v>
      </c>
      <c r="D1544" s="7" t="str">
        <f>"12"</f>
        <v>12</v>
      </c>
      <c r="E1544" s="8">
        <v>70.8</v>
      </c>
      <c r="F1544" s="7" t="s">
        <v>7</v>
      </c>
    </row>
    <row r="1545" s="2" customFormat="1" ht="14.1" customHeight="1" spans="1:6">
      <c r="A1545" s="7" t="str">
        <f>"2102605213"</f>
        <v>2102605213</v>
      </c>
      <c r="B1545" s="7" t="str">
        <f t="shared" si="83"/>
        <v>2021026</v>
      </c>
      <c r="C1545" s="7" t="str">
        <f t="shared" si="84"/>
        <v>052</v>
      </c>
      <c r="D1545" s="7" t="str">
        <f>"13"</f>
        <v>13</v>
      </c>
      <c r="E1545" s="8">
        <v>46.2</v>
      </c>
      <c r="F1545" s="7" t="s">
        <v>7</v>
      </c>
    </row>
    <row r="1546" s="2" customFormat="1" ht="14.1" customHeight="1" spans="1:6">
      <c r="A1546" s="7" t="str">
        <f>"2102605214"</f>
        <v>2102605214</v>
      </c>
      <c r="B1546" s="7" t="str">
        <f t="shared" si="83"/>
        <v>2021026</v>
      </c>
      <c r="C1546" s="7" t="str">
        <f t="shared" si="84"/>
        <v>052</v>
      </c>
      <c r="D1546" s="7" t="str">
        <f>"14"</f>
        <v>14</v>
      </c>
      <c r="E1546" s="8">
        <v>53.3</v>
      </c>
      <c r="F1546" s="7" t="s">
        <v>7</v>
      </c>
    </row>
    <row r="1547" s="2" customFormat="1" ht="14.1" customHeight="1" spans="1:6">
      <c r="A1547" s="7" t="str">
        <f>"2102605215"</f>
        <v>2102605215</v>
      </c>
      <c r="B1547" s="7" t="str">
        <f t="shared" si="83"/>
        <v>2021026</v>
      </c>
      <c r="C1547" s="7" t="str">
        <f t="shared" si="84"/>
        <v>052</v>
      </c>
      <c r="D1547" s="7" t="str">
        <f>"15"</f>
        <v>15</v>
      </c>
      <c r="E1547" s="8">
        <v>0</v>
      </c>
      <c r="F1547" s="7" t="s">
        <v>8</v>
      </c>
    </row>
    <row r="1548" s="2" customFormat="1" ht="14.1" customHeight="1" spans="1:6">
      <c r="A1548" s="7" t="str">
        <f>"2102605216"</f>
        <v>2102605216</v>
      </c>
      <c r="B1548" s="7" t="str">
        <f t="shared" si="83"/>
        <v>2021026</v>
      </c>
      <c r="C1548" s="7" t="str">
        <f t="shared" si="84"/>
        <v>052</v>
      </c>
      <c r="D1548" s="7" t="str">
        <f>"16"</f>
        <v>16</v>
      </c>
      <c r="E1548" s="8">
        <v>0</v>
      </c>
      <c r="F1548" s="7" t="s">
        <v>8</v>
      </c>
    </row>
    <row r="1549" s="2" customFormat="1" ht="14.1" customHeight="1" spans="1:6">
      <c r="A1549" s="7" t="str">
        <f>"2102605217"</f>
        <v>2102605217</v>
      </c>
      <c r="B1549" s="7" t="str">
        <f t="shared" si="83"/>
        <v>2021026</v>
      </c>
      <c r="C1549" s="7" t="str">
        <f t="shared" si="84"/>
        <v>052</v>
      </c>
      <c r="D1549" s="7" t="str">
        <f>"17"</f>
        <v>17</v>
      </c>
      <c r="E1549" s="8">
        <v>59.7</v>
      </c>
      <c r="F1549" s="7" t="s">
        <v>7</v>
      </c>
    </row>
    <row r="1550" s="2" customFormat="1" ht="14.1" customHeight="1" spans="1:6">
      <c r="A1550" s="7" t="str">
        <f>"2102605218"</f>
        <v>2102605218</v>
      </c>
      <c r="B1550" s="7" t="str">
        <f t="shared" si="83"/>
        <v>2021026</v>
      </c>
      <c r="C1550" s="7" t="str">
        <f t="shared" si="84"/>
        <v>052</v>
      </c>
      <c r="D1550" s="7" t="str">
        <f>"18"</f>
        <v>18</v>
      </c>
      <c r="E1550" s="8">
        <v>0</v>
      </c>
      <c r="F1550" s="7" t="s">
        <v>8</v>
      </c>
    </row>
    <row r="1551" s="2" customFormat="1" ht="14.1" customHeight="1" spans="1:6">
      <c r="A1551" s="7" t="str">
        <f>"2102605219"</f>
        <v>2102605219</v>
      </c>
      <c r="B1551" s="7" t="str">
        <f t="shared" si="83"/>
        <v>2021026</v>
      </c>
      <c r="C1551" s="7" t="str">
        <f t="shared" si="84"/>
        <v>052</v>
      </c>
      <c r="D1551" s="7" t="str">
        <f>"19"</f>
        <v>19</v>
      </c>
      <c r="E1551" s="8">
        <v>59.3</v>
      </c>
      <c r="F1551" s="7" t="s">
        <v>7</v>
      </c>
    </row>
    <row r="1552" s="2" customFormat="1" ht="14.1" customHeight="1" spans="1:6">
      <c r="A1552" s="7" t="str">
        <f>"2102605220"</f>
        <v>2102605220</v>
      </c>
      <c r="B1552" s="7" t="str">
        <f t="shared" si="83"/>
        <v>2021026</v>
      </c>
      <c r="C1552" s="7" t="str">
        <f t="shared" si="84"/>
        <v>052</v>
      </c>
      <c r="D1552" s="7" t="str">
        <f>"20"</f>
        <v>20</v>
      </c>
      <c r="E1552" s="8">
        <v>57.4</v>
      </c>
      <c r="F1552" s="7" t="s">
        <v>7</v>
      </c>
    </row>
    <row r="1553" s="2" customFormat="1" ht="14.1" customHeight="1" spans="1:6">
      <c r="A1553" s="7" t="str">
        <f>"2102605221"</f>
        <v>2102605221</v>
      </c>
      <c r="B1553" s="7" t="str">
        <f t="shared" si="83"/>
        <v>2021026</v>
      </c>
      <c r="C1553" s="7" t="str">
        <f t="shared" si="84"/>
        <v>052</v>
      </c>
      <c r="D1553" s="7" t="str">
        <f>"21"</f>
        <v>21</v>
      </c>
      <c r="E1553" s="8">
        <v>64.3</v>
      </c>
      <c r="F1553" s="7" t="s">
        <v>7</v>
      </c>
    </row>
    <row r="1554" s="2" customFormat="1" ht="14.1" customHeight="1" spans="1:6">
      <c r="A1554" s="7" t="str">
        <f>"2102605222"</f>
        <v>2102605222</v>
      </c>
      <c r="B1554" s="7" t="str">
        <f t="shared" si="83"/>
        <v>2021026</v>
      </c>
      <c r="C1554" s="7" t="str">
        <f t="shared" si="84"/>
        <v>052</v>
      </c>
      <c r="D1554" s="7" t="str">
        <f>"22"</f>
        <v>22</v>
      </c>
      <c r="E1554" s="8">
        <v>0</v>
      </c>
      <c r="F1554" s="7" t="s">
        <v>8</v>
      </c>
    </row>
    <row r="1555" s="2" customFormat="1" ht="14.1" customHeight="1" spans="1:6">
      <c r="A1555" s="7" t="str">
        <f>"2102605223"</f>
        <v>2102605223</v>
      </c>
      <c r="B1555" s="7" t="str">
        <f t="shared" si="83"/>
        <v>2021026</v>
      </c>
      <c r="C1555" s="7" t="str">
        <f t="shared" si="84"/>
        <v>052</v>
      </c>
      <c r="D1555" s="7" t="str">
        <f>"23"</f>
        <v>23</v>
      </c>
      <c r="E1555" s="8">
        <v>62.8</v>
      </c>
      <c r="F1555" s="7" t="s">
        <v>7</v>
      </c>
    </row>
    <row r="1556" s="2" customFormat="1" ht="14.1" customHeight="1" spans="1:6">
      <c r="A1556" s="7" t="str">
        <f>"2102605224"</f>
        <v>2102605224</v>
      </c>
      <c r="B1556" s="7" t="str">
        <f t="shared" si="83"/>
        <v>2021026</v>
      </c>
      <c r="C1556" s="7" t="str">
        <f t="shared" si="84"/>
        <v>052</v>
      </c>
      <c r="D1556" s="7" t="str">
        <f>"24"</f>
        <v>24</v>
      </c>
      <c r="E1556" s="8">
        <v>0</v>
      </c>
      <c r="F1556" s="7" t="s">
        <v>8</v>
      </c>
    </row>
    <row r="1557" s="2" customFormat="1" ht="14.1" customHeight="1" spans="1:6">
      <c r="A1557" s="7" t="str">
        <f>"2102605225"</f>
        <v>2102605225</v>
      </c>
      <c r="B1557" s="7" t="str">
        <f t="shared" si="83"/>
        <v>2021026</v>
      </c>
      <c r="C1557" s="7" t="str">
        <f t="shared" si="84"/>
        <v>052</v>
      </c>
      <c r="D1557" s="7" t="str">
        <f>"25"</f>
        <v>25</v>
      </c>
      <c r="E1557" s="8">
        <v>0</v>
      </c>
      <c r="F1557" s="7" t="s">
        <v>8</v>
      </c>
    </row>
    <row r="1558" s="2" customFormat="1" ht="14.1" customHeight="1" spans="1:6">
      <c r="A1558" s="7" t="str">
        <f>"2102605226"</f>
        <v>2102605226</v>
      </c>
      <c r="B1558" s="7" t="str">
        <f t="shared" si="83"/>
        <v>2021026</v>
      </c>
      <c r="C1558" s="7" t="str">
        <f t="shared" si="84"/>
        <v>052</v>
      </c>
      <c r="D1558" s="7" t="str">
        <f>"26"</f>
        <v>26</v>
      </c>
      <c r="E1558" s="8">
        <v>0</v>
      </c>
      <c r="F1558" s="7" t="s">
        <v>8</v>
      </c>
    </row>
    <row r="1559" s="2" customFormat="1" ht="14.1" customHeight="1" spans="1:6">
      <c r="A1559" s="7" t="str">
        <f>"2102605227"</f>
        <v>2102605227</v>
      </c>
      <c r="B1559" s="7" t="str">
        <f t="shared" si="83"/>
        <v>2021026</v>
      </c>
      <c r="C1559" s="7" t="str">
        <f t="shared" si="84"/>
        <v>052</v>
      </c>
      <c r="D1559" s="7" t="str">
        <f>"27"</f>
        <v>27</v>
      </c>
      <c r="E1559" s="8">
        <v>0</v>
      </c>
      <c r="F1559" s="7" t="s">
        <v>8</v>
      </c>
    </row>
    <row r="1560" s="2" customFormat="1" ht="14.1" customHeight="1" spans="1:6">
      <c r="A1560" s="7" t="str">
        <f>"2102605228"</f>
        <v>2102605228</v>
      </c>
      <c r="B1560" s="7" t="str">
        <f t="shared" si="83"/>
        <v>2021026</v>
      </c>
      <c r="C1560" s="7" t="str">
        <f t="shared" si="84"/>
        <v>052</v>
      </c>
      <c r="D1560" s="7" t="str">
        <f>"28"</f>
        <v>28</v>
      </c>
      <c r="E1560" s="8">
        <v>0</v>
      </c>
      <c r="F1560" s="7" t="s">
        <v>8</v>
      </c>
    </row>
    <row r="1561" s="2" customFormat="1" ht="14.1" customHeight="1" spans="1:6">
      <c r="A1561" s="7" t="str">
        <f>"2102605229"</f>
        <v>2102605229</v>
      </c>
      <c r="B1561" s="7" t="str">
        <f t="shared" si="83"/>
        <v>2021026</v>
      </c>
      <c r="C1561" s="7" t="str">
        <f t="shared" si="84"/>
        <v>052</v>
      </c>
      <c r="D1561" s="7" t="str">
        <f>"29"</f>
        <v>29</v>
      </c>
      <c r="E1561" s="8">
        <v>69.2</v>
      </c>
      <c r="F1561" s="7" t="s">
        <v>7</v>
      </c>
    </row>
    <row r="1562" s="2" customFormat="1" ht="14.1" customHeight="1" spans="1:6">
      <c r="A1562" s="7" t="str">
        <f>"2102605230"</f>
        <v>2102605230</v>
      </c>
      <c r="B1562" s="7" t="str">
        <f t="shared" si="83"/>
        <v>2021026</v>
      </c>
      <c r="C1562" s="7" t="str">
        <f t="shared" si="84"/>
        <v>052</v>
      </c>
      <c r="D1562" s="7" t="str">
        <f>"30"</f>
        <v>30</v>
      </c>
      <c r="E1562" s="8">
        <v>0</v>
      </c>
      <c r="F1562" s="7" t="s">
        <v>8</v>
      </c>
    </row>
    <row r="1563" s="2" customFormat="1" ht="14.1" customHeight="1" spans="1:6">
      <c r="A1563" s="7" t="str">
        <f>"2102605301"</f>
        <v>2102605301</v>
      </c>
      <c r="B1563" s="7" t="str">
        <f t="shared" si="83"/>
        <v>2021026</v>
      </c>
      <c r="C1563" s="7" t="str">
        <f t="shared" ref="C1563:C1592" si="85">"053"</f>
        <v>053</v>
      </c>
      <c r="D1563" s="7" t="str">
        <f>"01"</f>
        <v>01</v>
      </c>
      <c r="E1563" s="8">
        <v>58</v>
      </c>
      <c r="F1563" s="7" t="s">
        <v>7</v>
      </c>
    </row>
    <row r="1564" s="2" customFormat="1" ht="14.1" customHeight="1" spans="1:6">
      <c r="A1564" s="7" t="str">
        <f>"2102605302"</f>
        <v>2102605302</v>
      </c>
      <c r="B1564" s="7" t="str">
        <f t="shared" si="83"/>
        <v>2021026</v>
      </c>
      <c r="C1564" s="7" t="str">
        <f t="shared" si="85"/>
        <v>053</v>
      </c>
      <c r="D1564" s="7" t="str">
        <f>"02"</f>
        <v>02</v>
      </c>
      <c r="E1564" s="8">
        <v>55.9</v>
      </c>
      <c r="F1564" s="7" t="s">
        <v>7</v>
      </c>
    </row>
    <row r="1565" s="2" customFormat="1" ht="14.1" customHeight="1" spans="1:6">
      <c r="A1565" s="7" t="str">
        <f>"2102605303"</f>
        <v>2102605303</v>
      </c>
      <c r="B1565" s="7" t="str">
        <f t="shared" si="83"/>
        <v>2021026</v>
      </c>
      <c r="C1565" s="7" t="str">
        <f t="shared" si="85"/>
        <v>053</v>
      </c>
      <c r="D1565" s="7" t="str">
        <f>"03"</f>
        <v>03</v>
      </c>
      <c r="E1565" s="8">
        <v>57.6</v>
      </c>
      <c r="F1565" s="7" t="s">
        <v>7</v>
      </c>
    </row>
    <row r="1566" s="2" customFormat="1" ht="14.1" customHeight="1" spans="1:6">
      <c r="A1566" s="7" t="str">
        <f>"2102605304"</f>
        <v>2102605304</v>
      </c>
      <c r="B1566" s="7" t="str">
        <f t="shared" si="83"/>
        <v>2021026</v>
      </c>
      <c r="C1566" s="7" t="str">
        <f t="shared" si="85"/>
        <v>053</v>
      </c>
      <c r="D1566" s="7" t="str">
        <f>"04"</f>
        <v>04</v>
      </c>
      <c r="E1566" s="8">
        <v>64.9</v>
      </c>
      <c r="F1566" s="7" t="s">
        <v>7</v>
      </c>
    </row>
    <row r="1567" s="2" customFormat="1" ht="14.1" customHeight="1" spans="1:6">
      <c r="A1567" s="7" t="str">
        <f>"2102605305"</f>
        <v>2102605305</v>
      </c>
      <c r="B1567" s="7" t="str">
        <f t="shared" si="83"/>
        <v>2021026</v>
      </c>
      <c r="C1567" s="7" t="str">
        <f t="shared" si="85"/>
        <v>053</v>
      </c>
      <c r="D1567" s="7" t="str">
        <f>"05"</f>
        <v>05</v>
      </c>
      <c r="E1567" s="8">
        <v>0</v>
      </c>
      <c r="F1567" s="7" t="s">
        <v>8</v>
      </c>
    </row>
    <row r="1568" s="2" customFormat="1" ht="14.1" customHeight="1" spans="1:6">
      <c r="A1568" s="7" t="str">
        <f>"2102605306"</f>
        <v>2102605306</v>
      </c>
      <c r="B1568" s="7" t="str">
        <f t="shared" si="83"/>
        <v>2021026</v>
      </c>
      <c r="C1568" s="7" t="str">
        <f t="shared" si="85"/>
        <v>053</v>
      </c>
      <c r="D1568" s="7" t="str">
        <f>"06"</f>
        <v>06</v>
      </c>
      <c r="E1568" s="8">
        <v>0</v>
      </c>
      <c r="F1568" s="7" t="s">
        <v>8</v>
      </c>
    </row>
    <row r="1569" s="2" customFormat="1" ht="14.1" customHeight="1" spans="1:6">
      <c r="A1569" s="7" t="str">
        <f>"2102605307"</f>
        <v>2102605307</v>
      </c>
      <c r="B1569" s="7" t="str">
        <f t="shared" si="83"/>
        <v>2021026</v>
      </c>
      <c r="C1569" s="7" t="str">
        <f t="shared" si="85"/>
        <v>053</v>
      </c>
      <c r="D1569" s="7" t="str">
        <f>"07"</f>
        <v>07</v>
      </c>
      <c r="E1569" s="8">
        <v>0</v>
      </c>
      <c r="F1569" s="7" t="s">
        <v>8</v>
      </c>
    </row>
    <row r="1570" s="2" customFormat="1" ht="14.1" customHeight="1" spans="1:6">
      <c r="A1570" s="7" t="str">
        <f>"2102605308"</f>
        <v>2102605308</v>
      </c>
      <c r="B1570" s="7" t="str">
        <f t="shared" si="83"/>
        <v>2021026</v>
      </c>
      <c r="C1570" s="7" t="str">
        <f t="shared" si="85"/>
        <v>053</v>
      </c>
      <c r="D1570" s="7" t="str">
        <f>"08"</f>
        <v>08</v>
      </c>
      <c r="E1570" s="8">
        <v>67.1</v>
      </c>
      <c r="F1570" s="7" t="s">
        <v>7</v>
      </c>
    </row>
    <row r="1571" s="2" customFormat="1" ht="14.1" customHeight="1" spans="1:6">
      <c r="A1571" s="7" t="str">
        <f>"2102605309"</f>
        <v>2102605309</v>
      </c>
      <c r="B1571" s="7" t="str">
        <f t="shared" ref="B1571:B1634" si="86">"2021026"</f>
        <v>2021026</v>
      </c>
      <c r="C1571" s="7" t="str">
        <f t="shared" si="85"/>
        <v>053</v>
      </c>
      <c r="D1571" s="7" t="str">
        <f>"09"</f>
        <v>09</v>
      </c>
      <c r="E1571" s="8">
        <v>60.8</v>
      </c>
      <c r="F1571" s="7" t="s">
        <v>7</v>
      </c>
    </row>
    <row r="1572" s="2" customFormat="1" ht="14.1" customHeight="1" spans="1:6">
      <c r="A1572" s="7" t="str">
        <f>"2102605310"</f>
        <v>2102605310</v>
      </c>
      <c r="B1572" s="7" t="str">
        <f t="shared" si="86"/>
        <v>2021026</v>
      </c>
      <c r="C1572" s="7" t="str">
        <f t="shared" si="85"/>
        <v>053</v>
      </c>
      <c r="D1572" s="7" t="str">
        <f>"10"</f>
        <v>10</v>
      </c>
      <c r="E1572" s="8">
        <v>0</v>
      </c>
      <c r="F1572" s="7" t="s">
        <v>8</v>
      </c>
    </row>
    <row r="1573" s="2" customFormat="1" ht="14.1" customHeight="1" spans="1:6">
      <c r="A1573" s="7" t="str">
        <f>"2102605311"</f>
        <v>2102605311</v>
      </c>
      <c r="B1573" s="7" t="str">
        <f t="shared" si="86"/>
        <v>2021026</v>
      </c>
      <c r="C1573" s="7" t="str">
        <f t="shared" si="85"/>
        <v>053</v>
      </c>
      <c r="D1573" s="7" t="str">
        <f>"11"</f>
        <v>11</v>
      </c>
      <c r="E1573" s="8">
        <v>63.1</v>
      </c>
      <c r="F1573" s="7" t="s">
        <v>7</v>
      </c>
    </row>
    <row r="1574" s="2" customFormat="1" ht="14.1" customHeight="1" spans="1:6">
      <c r="A1574" s="7" t="str">
        <f>"2102605312"</f>
        <v>2102605312</v>
      </c>
      <c r="B1574" s="7" t="str">
        <f t="shared" si="86"/>
        <v>2021026</v>
      </c>
      <c r="C1574" s="7" t="str">
        <f t="shared" si="85"/>
        <v>053</v>
      </c>
      <c r="D1574" s="7" t="str">
        <f>"12"</f>
        <v>12</v>
      </c>
      <c r="E1574" s="8">
        <v>0</v>
      </c>
      <c r="F1574" s="7" t="s">
        <v>8</v>
      </c>
    </row>
    <row r="1575" s="2" customFormat="1" ht="14.1" customHeight="1" spans="1:6">
      <c r="A1575" s="7" t="str">
        <f>"2102605313"</f>
        <v>2102605313</v>
      </c>
      <c r="B1575" s="7" t="str">
        <f t="shared" si="86"/>
        <v>2021026</v>
      </c>
      <c r="C1575" s="7" t="str">
        <f t="shared" si="85"/>
        <v>053</v>
      </c>
      <c r="D1575" s="7" t="str">
        <f>"13"</f>
        <v>13</v>
      </c>
      <c r="E1575" s="8">
        <v>45.2</v>
      </c>
      <c r="F1575" s="7" t="s">
        <v>7</v>
      </c>
    </row>
    <row r="1576" s="2" customFormat="1" ht="14.1" customHeight="1" spans="1:6">
      <c r="A1576" s="7" t="str">
        <f>"2102605314"</f>
        <v>2102605314</v>
      </c>
      <c r="B1576" s="7" t="str">
        <f t="shared" si="86"/>
        <v>2021026</v>
      </c>
      <c r="C1576" s="7" t="str">
        <f t="shared" si="85"/>
        <v>053</v>
      </c>
      <c r="D1576" s="7" t="str">
        <f>"14"</f>
        <v>14</v>
      </c>
      <c r="E1576" s="8">
        <v>54</v>
      </c>
      <c r="F1576" s="7" t="s">
        <v>7</v>
      </c>
    </row>
    <row r="1577" s="2" customFormat="1" ht="14.1" customHeight="1" spans="1:6">
      <c r="A1577" s="7" t="str">
        <f>"2102605315"</f>
        <v>2102605315</v>
      </c>
      <c r="B1577" s="7" t="str">
        <f t="shared" si="86"/>
        <v>2021026</v>
      </c>
      <c r="C1577" s="7" t="str">
        <f t="shared" si="85"/>
        <v>053</v>
      </c>
      <c r="D1577" s="7" t="str">
        <f>"15"</f>
        <v>15</v>
      </c>
      <c r="E1577" s="8">
        <v>0</v>
      </c>
      <c r="F1577" s="7" t="s">
        <v>8</v>
      </c>
    </row>
    <row r="1578" s="2" customFormat="1" ht="14.1" customHeight="1" spans="1:6">
      <c r="A1578" s="7" t="str">
        <f>"2102605316"</f>
        <v>2102605316</v>
      </c>
      <c r="B1578" s="7" t="str">
        <f t="shared" si="86"/>
        <v>2021026</v>
      </c>
      <c r="C1578" s="7" t="str">
        <f t="shared" si="85"/>
        <v>053</v>
      </c>
      <c r="D1578" s="7" t="str">
        <f>"16"</f>
        <v>16</v>
      </c>
      <c r="E1578" s="8">
        <v>0</v>
      </c>
      <c r="F1578" s="7" t="s">
        <v>8</v>
      </c>
    </row>
    <row r="1579" s="2" customFormat="1" ht="14.1" customHeight="1" spans="1:6">
      <c r="A1579" s="7" t="str">
        <f>"2102605317"</f>
        <v>2102605317</v>
      </c>
      <c r="B1579" s="7" t="str">
        <f t="shared" si="86"/>
        <v>2021026</v>
      </c>
      <c r="C1579" s="7" t="str">
        <f t="shared" si="85"/>
        <v>053</v>
      </c>
      <c r="D1579" s="7" t="str">
        <f>"17"</f>
        <v>17</v>
      </c>
      <c r="E1579" s="8">
        <v>0</v>
      </c>
      <c r="F1579" s="7" t="s">
        <v>8</v>
      </c>
    </row>
    <row r="1580" s="2" customFormat="1" ht="14.1" customHeight="1" spans="1:6">
      <c r="A1580" s="7" t="str">
        <f>"2102605318"</f>
        <v>2102605318</v>
      </c>
      <c r="B1580" s="7" t="str">
        <f t="shared" si="86"/>
        <v>2021026</v>
      </c>
      <c r="C1580" s="7" t="str">
        <f t="shared" si="85"/>
        <v>053</v>
      </c>
      <c r="D1580" s="7" t="str">
        <f>"18"</f>
        <v>18</v>
      </c>
      <c r="E1580" s="8">
        <v>69.1</v>
      </c>
      <c r="F1580" s="7" t="s">
        <v>7</v>
      </c>
    </row>
    <row r="1581" s="2" customFormat="1" ht="14.1" customHeight="1" spans="1:6">
      <c r="A1581" s="7" t="str">
        <f>"2102605319"</f>
        <v>2102605319</v>
      </c>
      <c r="B1581" s="7" t="str">
        <f t="shared" si="86"/>
        <v>2021026</v>
      </c>
      <c r="C1581" s="7" t="str">
        <f t="shared" si="85"/>
        <v>053</v>
      </c>
      <c r="D1581" s="7" t="str">
        <f>"19"</f>
        <v>19</v>
      </c>
      <c r="E1581" s="8">
        <v>61.1</v>
      </c>
      <c r="F1581" s="7" t="s">
        <v>7</v>
      </c>
    </row>
    <row r="1582" s="2" customFormat="1" ht="14.1" customHeight="1" spans="1:6">
      <c r="A1582" s="7" t="str">
        <f>"2102605320"</f>
        <v>2102605320</v>
      </c>
      <c r="B1582" s="7" t="str">
        <f t="shared" si="86"/>
        <v>2021026</v>
      </c>
      <c r="C1582" s="7" t="str">
        <f t="shared" si="85"/>
        <v>053</v>
      </c>
      <c r="D1582" s="7" t="str">
        <f>"20"</f>
        <v>20</v>
      </c>
      <c r="E1582" s="8">
        <v>72.9</v>
      </c>
      <c r="F1582" s="7" t="s">
        <v>7</v>
      </c>
    </row>
    <row r="1583" s="2" customFormat="1" ht="14.1" customHeight="1" spans="1:6">
      <c r="A1583" s="7" t="str">
        <f>"2102605321"</f>
        <v>2102605321</v>
      </c>
      <c r="B1583" s="7" t="str">
        <f t="shared" si="86"/>
        <v>2021026</v>
      </c>
      <c r="C1583" s="7" t="str">
        <f t="shared" si="85"/>
        <v>053</v>
      </c>
      <c r="D1583" s="7" t="str">
        <f>"21"</f>
        <v>21</v>
      </c>
      <c r="E1583" s="8">
        <v>0</v>
      </c>
      <c r="F1583" s="7" t="s">
        <v>8</v>
      </c>
    </row>
    <row r="1584" s="2" customFormat="1" ht="14.1" customHeight="1" spans="1:6">
      <c r="A1584" s="7" t="str">
        <f>"2102605322"</f>
        <v>2102605322</v>
      </c>
      <c r="B1584" s="7" t="str">
        <f t="shared" si="86"/>
        <v>2021026</v>
      </c>
      <c r="C1584" s="7" t="str">
        <f t="shared" si="85"/>
        <v>053</v>
      </c>
      <c r="D1584" s="7" t="str">
        <f>"22"</f>
        <v>22</v>
      </c>
      <c r="E1584" s="8">
        <v>59</v>
      </c>
      <c r="F1584" s="7" t="s">
        <v>7</v>
      </c>
    </row>
    <row r="1585" s="2" customFormat="1" ht="14.1" customHeight="1" spans="1:6">
      <c r="A1585" s="7" t="str">
        <f>"2102605323"</f>
        <v>2102605323</v>
      </c>
      <c r="B1585" s="7" t="str">
        <f t="shared" si="86"/>
        <v>2021026</v>
      </c>
      <c r="C1585" s="7" t="str">
        <f t="shared" si="85"/>
        <v>053</v>
      </c>
      <c r="D1585" s="7" t="str">
        <f>"23"</f>
        <v>23</v>
      </c>
      <c r="E1585" s="8">
        <v>0</v>
      </c>
      <c r="F1585" s="7" t="s">
        <v>8</v>
      </c>
    </row>
    <row r="1586" s="2" customFormat="1" ht="14.1" customHeight="1" spans="1:6">
      <c r="A1586" s="7" t="str">
        <f>"2102605324"</f>
        <v>2102605324</v>
      </c>
      <c r="B1586" s="7" t="str">
        <f t="shared" si="86"/>
        <v>2021026</v>
      </c>
      <c r="C1586" s="7" t="str">
        <f t="shared" si="85"/>
        <v>053</v>
      </c>
      <c r="D1586" s="7" t="str">
        <f>"24"</f>
        <v>24</v>
      </c>
      <c r="E1586" s="8">
        <v>0</v>
      </c>
      <c r="F1586" s="7" t="s">
        <v>8</v>
      </c>
    </row>
    <row r="1587" s="2" customFormat="1" ht="14.1" customHeight="1" spans="1:6">
      <c r="A1587" s="7" t="str">
        <f>"2102605325"</f>
        <v>2102605325</v>
      </c>
      <c r="B1587" s="7" t="str">
        <f t="shared" si="86"/>
        <v>2021026</v>
      </c>
      <c r="C1587" s="7" t="str">
        <f t="shared" si="85"/>
        <v>053</v>
      </c>
      <c r="D1587" s="7" t="str">
        <f>"25"</f>
        <v>25</v>
      </c>
      <c r="E1587" s="8">
        <v>52.8</v>
      </c>
      <c r="F1587" s="7" t="s">
        <v>7</v>
      </c>
    </row>
    <row r="1588" s="2" customFormat="1" ht="14.1" customHeight="1" spans="1:6">
      <c r="A1588" s="7" t="str">
        <f>"2102605326"</f>
        <v>2102605326</v>
      </c>
      <c r="B1588" s="7" t="str">
        <f t="shared" si="86"/>
        <v>2021026</v>
      </c>
      <c r="C1588" s="7" t="str">
        <f t="shared" si="85"/>
        <v>053</v>
      </c>
      <c r="D1588" s="7" t="str">
        <f>"26"</f>
        <v>26</v>
      </c>
      <c r="E1588" s="8">
        <v>62.4</v>
      </c>
      <c r="F1588" s="7" t="s">
        <v>7</v>
      </c>
    </row>
    <row r="1589" s="2" customFormat="1" ht="14.1" customHeight="1" spans="1:6">
      <c r="A1589" s="7" t="str">
        <f>"2102605327"</f>
        <v>2102605327</v>
      </c>
      <c r="B1589" s="7" t="str">
        <f t="shared" si="86"/>
        <v>2021026</v>
      </c>
      <c r="C1589" s="7" t="str">
        <f t="shared" si="85"/>
        <v>053</v>
      </c>
      <c r="D1589" s="7" t="str">
        <f>"27"</f>
        <v>27</v>
      </c>
      <c r="E1589" s="8">
        <v>61.3</v>
      </c>
      <c r="F1589" s="7" t="s">
        <v>7</v>
      </c>
    </row>
    <row r="1590" s="2" customFormat="1" ht="14.1" customHeight="1" spans="1:6">
      <c r="A1590" s="7" t="str">
        <f>"2102605328"</f>
        <v>2102605328</v>
      </c>
      <c r="B1590" s="7" t="str">
        <f t="shared" si="86"/>
        <v>2021026</v>
      </c>
      <c r="C1590" s="7" t="str">
        <f t="shared" si="85"/>
        <v>053</v>
      </c>
      <c r="D1590" s="7" t="str">
        <f>"28"</f>
        <v>28</v>
      </c>
      <c r="E1590" s="8">
        <v>62.7</v>
      </c>
      <c r="F1590" s="7" t="s">
        <v>7</v>
      </c>
    </row>
    <row r="1591" s="2" customFormat="1" ht="14.1" customHeight="1" spans="1:6">
      <c r="A1591" s="7" t="str">
        <f>"2102605329"</f>
        <v>2102605329</v>
      </c>
      <c r="B1591" s="7" t="str">
        <f t="shared" si="86"/>
        <v>2021026</v>
      </c>
      <c r="C1591" s="7" t="str">
        <f t="shared" si="85"/>
        <v>053</v>
      </c>
      <c r="D1591" s="7" t="str">
        <f>"29"</f>
        <v>29</v>
      </c>
      <c r="E1591" s="8">
        <v>0</v>
      </c>
      <c r="F1591" s="7" t="s">
        <v>8</v>
      </c>
    </row>
    <row r="1592" s="2" customFormat="1" ht="14.1" customHeight="1" spans="1:6">
      <c r="A1592" s="7" t="str">
        <f>"2102605330"</f>
        <v>2102605330</v>
      </c>
      <c r="B1592" s="7" t="str">
        <f t="shared" si="86"/>
        <v>2021026</v>
      </c>
      <c r="C1592" s="7" t="str">
        <f t="shared" si="85"/>
        <v>053</v>
      </c>
      <c r="D1592" s="7" t="str">
        <f>"30"</f>
        <v>30</v>
      </c>
      <c r="E1592" s="8">
        <v>0</v>
      </c>
      <c r="F1592" s="7" t="s">
        <v>8</v>
      </c>
    </row>
    <row r="1593" s="2" customFormat="1" ht="14.1" customHeight="1" spans="1:6">
      <c r="A1593" s="7" t="str">
        <f>"2102605401"</f>
        <v>2102605401</v>
      </c>
      <c r="B1593" s="7" t="str">
        <f t="shared" si="86"/>
        <v>2021026</v>
      </c>
      <c r="C1593" s="7" t="str">
        <f t="shared" ref="C1593:C1622" si="87">"054"</f>
        <v>054</v>
      </c>
      <c r="D1593" s="7" t="str">
        <f>"01"</f>
        <v>01</v>
      </c>
      <c r="E1593" s="8">
        <v>60.2</v>
      </c>
      <c r="F1593" s="7" t="s">
        <v>7</v>
      </c>
    </row>
    <row r="1594" s="2" customFormat="1" ht="14.1" customHeight="1" spans="1:6">
      <c r="A1594" s="7" t="str">
        <f>"2102605402"</f>
        <v>2102605402</v>
      </c>
      <c r="B1594" s="7" t="str">
        <f t="shared" si="86"/>
        <v>2021026</v>
      </c>
      <c r="C1594" s="7" t="str">
        <f t="shared" si="87"/>
        <v>054</v>
      </c>
      <c r="D1594" s="7" t="str">
        <f>"02"</f>
        <v>02</v>
      </c>
      <c r="E1594" s="8">
        <v>0</v>
      </c>
      <c r="F1594" s="7" t="s">
        <v>8</v>
      </c>
    </row>
    <row r="1595" s="2" customFormat="1" ht="14.1" customHeight="1" spans="1:6">
      <c r="A1595" s="7" t="str">
        <f>"2102605403"</f>
        <v>2102605403</v>
      </c>
      <c r="B1595" s="7" t="str">
        <f t="shared" si="86"/>
        <v>2021026</v>
      </c>
      <c r="C1595" s="7" t="str">
        <f t="shared" si="87"/>
        <v>054</v>
      </c>
      <c r="D1595" s="7" t="str">
        <f>"03"</f>
        <v>03</v>
      </c>
      <c r="E1595" s="8">
        <v>0</v>
      </c>
      <c r="F1595" s="7" t="s">
        <v>8</v>
      </c>
    </row>
    <row r="1596" s="2" customFormat="1" ht="14.1" customHeight="1" spans="1:6">
      <c r="A1596" s="7" t="str">
        <f>"2102605404"</f>
        <v>2102605404</v>
      </c>
      <c r="B1596" s="7" t="str">
        <f t="shared" si="86"/>
        <v>2021026</v>
      </c>
      <c r="C1596" s="7" t="str">
        <f t="shared" si="87"/>
        <v>054</v>
      </c>
      <c r="D1596" s="7" t="str">
        <f>"04"</f>
        <v>04</v>
      </c>
      <c r="E1596" s="8">
        <v>0</v>
      </c>
      <c r="F1596" s="7" t="s">
        <v>8</v>
      </c>
    </row>
    <row r="1597" s="2" customFormat="1" ht="14.1" customHeight="1" spans="1:6">
      <c r="A1597" s="7" t="str">
        <f>"2102605405"</f>
        <v>2102605405</v>
      </c>
      <c r="B1597" s="7" t="str">
        <f t="shared" si="86"/>
        <v>2021026</v>
      </c>
      <c r="C1597" s="7" t="str">
        <f t="shared" si="87"/>
        <v>054</v>
      </c>
      <c r="D1597" s="7" t="str">
        <f>"05"</f>
        <v>05</v>
      </c>
      <c r="E1597" s="8">
        <v>61.7</v>
      </c>
      <c r="F1597" s="7" t="s">
        <v>7</v>
      </c>
    </row>
    <row r="1598" s="2" customFormat="1" ht="14.1" customHeight="1" spans="1:6">
      <c r="A1598" s="7" t="str">
        <f>"2102605406"</f>
        <v>2102605406</v>
      </c>
      <c r="B1598" s="7" t="str">
        <f t="shared" si="86"/>
        <v>2021026</v>
      </c>
      <c r="C1598" s="7" t="str">
        <f t="shared" si="87"/>
        <v>054</v>
      </c>
      <c r="D1598" s="7" t="str">
        <f>"06"</f>
        <v>06</v>
      </c>
      <c r="E1598" s="8">
        <v>49.8</v>
      </c>
      <c r="F1598" s="7" t="s">
        <v>7</v>
      </c>
    </row>
    <row r="1599" s="2" customFormat="1" ht="14.1" customHeight="1" spans="1:6">
      <c r="A1599" s="7" t="str">
        <f>"2102605407"</f>
        <v>2102605407</v>
      </c>
      <c r="B1599" s="7" t="str">
        <f t="shared" si="86"/>
        <v>2021026</v>
      </c>
      <c r="C1599" s="7" t="str">
        <f t="shared" si="87"/>
        <v>054</v>
      </c>
      <c r="D1599" s="7" t="str">
        <f>"07"</f>
        <v>07</v>
      </c>
      <c r="E1599" s="8">
        <v>0</v>
      </c>
      <c r="F1599" s="7" t="s">
        <v>8</v>
      </c>
    </row>
    <row r="1600" s="2" customFormat="1" ht="14.1" customHeight="1" spans="1:6">
      <c r="A1600" s="7" t="str">
        <f>"2102605408"</f>
        <v>2102605408</v>
      </c>
      <c r="B1600" s="7" t="str">
        <f t="shared" si="86"/>
        <v>2021026</v>
      </c>
      <c r="C1600" s="7" t="str">
        <f t="shared" si="87"/>
        <v>054</v>
      </c>
      <c r="D1600" s="7" t="str">
        <f>"08"</f>
        <v>08</v>
      </c>
      <c r="E1600" s="8">
        <v>71.5</v>
      </c>
      <c r="F1600" s="7" t="s">
        <v>7</v>
      </c>
    </row>
    <row r="1601" s="2" customFormat="1" ht="14.1" customHeight="1" spans="1:6">
      <c r="A1601" s="7" t="str">
        <f>"2102605409"</f>
        <v>2102605409</v>
      </c>
      <c r="B1601" s="7" t="str">
        <f t="shared" si="86"/>
        <v>2021026</v>
      </c>
      <c r="C1601" s="7" t="str">
        <f t="shared" si="87"/>
        <v>054</v>
      </c>
      <c r="D1601" s="7" t="str">
        <f>"09"</f>
        <v>09</v>
      </c>
      <c r="E1601" s="8">
        <v>0</v>
      </c>
      <c r="F1601" s="7" t="s">
        <v>8</v>
      </c>
    </row>
    <row r="1602" s="2" customFormat="1" ht="14.1" customHeight="1" spans="1:6">
      <c r="A1602" s="7" t="str">
        <f>"2102605410"</f>
        <v>2102605410</v>
      </c>
      <c r="B1602" s="7" t="str">
        <f t="shared" si="86"/>
        <v>2021026</v>
      </c>
      <c r="C1602" s="7" t="str">
        <f t="shared" si="87"/>
        <v>054</v>
      </c>
      <c r="D1602" s="7" t="str">
        <f>"10"</f>
        <v>10</v>
      </c>
      <c r="E1602" s="8">
        <v>0</v>
      </c>
      <c r="F1602" s="7" t="s">
        <v>8</v>
      </c>
    </row>
    <row r="1603" s="2" customFormat="1" ht="14.1" customHeight="1" spans="1:6">
      <c r="A1603" s="7" t="str">
        <f>"2102605411"</f>
        <v>2102605411</v>
      </c>
      <c r="B1603" s="7" t="str">
        <f t="shared" si="86"/>
        <v>2021026</v>
      </c>
      <c r="C1603" s="7" t="str">
        <f t="shared" si="87"/>
        <v>054</v>
      </c>
      <c r="D1603" s="7" t="str">
        <f>"11"</f>
        <v>11</v>
      </c>
      <c r="E1603" s="8">
        <v>67</v>
      </c>
      <c r="F1603" s="7" t="s">
        <v>7</v>
      </c>
    </row>
    <row r="1604" s="2" customFormat="1" ht="14.1" customHeight="1" spans="1:6">
      <c r="A1604" s="7" t="str">
        <f>"2102605412"</f>
        <v>2102605412</v>
      </c>
      <c r="B1604" s="7" t="str">
        <f t="shared" si="86"/>
        <v>2021026</v>
      </c>
      <c r="C1604" s="7" t="str">
        <f t="shared" si="87"/>
        <v>054</v>
      </c>
      <c r="D1604" s="7" t="str">
        <f>"12"</f>
        <v>12</v>
      </c>
      <c r="E1604" s="8">
        <v>59.2</v>
      </c>
      <c r="F1604" s="7" t="s">
        <v>7</v>
      </c>
    </row>
    <row r="1605" s="2" customFormat="1" ht="14.1" customHeight="1" spans="1:6">
      <c r="A1605" s="7" t="str">
        <f>"2102605413"</f>
        <v>2102605413</v>
      </c>
      <c r="B1605" s="7" t="str">
        <f t="shared" si="86"/>
        <v>2021026</v>
      </c>
      <c r="C1605" s="7" t="str">
        <f t="shared" si="87"/>
        <v>054</v>
      </c>
      <c r="D1605" s="7" t="str">
        <f>"13"</f>
        <v>13</v>
      </c>
      <c r="E1605" s="8">
        <v>65.1</v>
      </c>
      <c r="F1605" s="7" t="s">
        <v>7</v>
      </c>
    </row>
    <row r="1606" s="2" customFormat="1" ht="14.1" customHeight="1" spans="1:6">
      <c r="A1606" s="7" t="str">
        <f>"2102605414"</f>
        <v>2102605414</v>
      </c>
      <c r="B1606" s="7" t="str">
        <f t="shared" si="86"/>
        <v>2021026</v>
      </c>
      <c r="C1606" s="7" t="str">
        <f t="shared" si="87"/>
        <v>054</v>
      </c>
      <c r="D1606" s="7" t="str">
        <f>"14"</f>
        <v>14</v>
      </c>
      <c r="E1606" s="8">
        <v>0</v>
      </c>
      <c r="F1606" s="7" t="s">
        <v>8</v>
      </c>
    </row>
    <row r="1607" s="2" customFormat="1" ht="14.1" customHeight="1" spans="1:6">
      <c r="A1607" s="7" t="str">
        <f>"2102605415"</f>
        <v>2102605415</v>
      </c>
      <c r="B1607" s="7" t="str">
        <f t="shared" si="86"/>
        <v>2021026</v>
      </c>
      <c r="C1607" s="7" t="str">
        <f t="shared" si="87"/>
        <v>054</v>
      </c>
      <c r="D1607" s="7" t="str">
        <f>"15"</f>
        <v>15</v>
      </c>
      <c r="E1607" s="8">
        <v>59.7</v>
      </c>
      <c r="F1607" s="7" t="s">
        <v>7</v>
      </c>
    </row>
    <row r="1608" s="2" customFormat="1" ht="14.1" customHeight="1" spans="1:6">
      <c r="A1608" s="7" t="str">
        <f>"2102605416"</f>
        <v>2102605416</v>
      </c>
      <c r="B1608" s="7" t="str">
        <f t="shared" si="86"/>
        <v>2021026</v>
      </c>
      <c r="C1608" s="7" t="str">
        <f t="shared" si="87"/>
        <v>054</v>
      </c>
      <c r="D1608" s="7" t="str">
        <f>"16"</f>
        <v>16</v>
      </c>
      <c r="E1608" s="8">
        <v>54.4</v>
      </c>
      <c r="F1608" s="7" t="s">
        <v>7</v>
      </c>
    </row>
    <row r="1609" s="2" customFormat="1" ht="14.1" customHeight="1" spans="1:6">
      <c r="A1609" s="7" t="str">
        <f>"2102605417"</f>
        <v>2102605417</v>
      </c>
      <c r="B1609" s="7" t="str">
        <f t="shared" si="86"/>
        <v>2021026</v>
      </c>
      <c r="C1609" s="7" t="str">
        <f t="shared" si="87"/>
        <v>054</v>
      </c>
      <c r="D1609" s="7" t="str">
        <f>"17"</f>
        <v>17</v>
      </c>
      <c r="E1609" s="8">
        <v>0</v>
      </c>
      <c r="F1609" s="7" t="s">
        <v>8</v>
      </c>
    </row>
    <row r="1610" s="2" customFormat="1" ht="14.1" customHeight="1" spans="1:6">
      <c r="A1610" s="7" t="str">
        <f>"2102605418"</f>
        <v>2102605418</v>
      </c>
      <c r="B1610" s="7" t="str">
        <f t="shared" si="86"/>
        <v>2021026</v>
      </c>
      <c r="C1610" s="7" t="str">
        <f t="shared" si="87"/>
        <v>054</v>
      </c>
      <c r="D1610" s="7" t="str">
        <f>"18"</f>
        <v>18</v>
      </c>
      <c r="E1610" s="8">
        <v>0</v>
      </c>
      <c r="F1610" s="7" t="s">
        <v>8</v>
      </c>
    </row>
    <row r="1611" s="2" customFormat="1" ht="14.1" customHeight="1" spans="1:6">
      <c r="A1611" s="7" t="str">
        <f>"2102605419"</f>
        <v>2102605419</v>
      </c>
      <c r="B1611" s="7" t="str">
        <f t="shared" si="86"/>
        <v>2021026</v>
      </c>
      <c r="C1611" s="7" t="str">
        <f t="shared" si="87"/>
        <v>054</v>
      </c>
      <c r="D1611" s="7" t="str">
        <f>"19"</f>
        <v>19</v>
      </c>
      <c r="E1611" s="8">
        <v>49.3</v>
      </c>
      <c r="F1611" s="7" t="s">
        <v>7</v>
      </c>
    </row>
    <row r="1612" s="2" customFormat="1" ht="14.1" customHeight="1" spans="1:6">
      <c r="A1612" s="7" t="str">
        <f>"2102605420"</f>
        <v>2102605420</v>
      </c>
      <c r="B1612" s="7" t="str">
        <f t="shared" si="86"/>
        <v>2021026</v>
      </c>
      <c r="C1612" s="7" t="str">
        <f t="shared" si="87"/>
        <v>054</v>
      </c>
      <c r="D1612" s="7" t="str">
        <f>"20"</f>
        <v>20</v>
      </c>
      <c r="E1612" s="8">
        <v>56.6</v>
      </c>
      <c r="F1612" s="7" t="s">
        <v>7</v>
      </c>
    </row>
    <row r="1613" s="2" customFormat="1" ht="14.1" customHeight="1" spans="1:6">
      <c r="A1613" s="7" t="str">
        <f>"2102605421"</f>
        <v>2102605421</v>
      </c>
      <c r="B1613" s="7" t="str">
        <f t="shared" si="86"/>
        <v>2021026</v>
      </c>
      <c r="C1613" s="7" t="str">
        <f t="shared" si="87"/>
        <v>054</v>
      </c>
      <c r="D1613" s="7" t="str">
        <f>"21"</f>
        <v>21</v>
      </c>
      <c r="E1613" s="8">
        <v>0</v>
      </c>
      <c r="F1613" s="7" t="s">
        <v>8</v>
      </c>
    </row>
    <row r="1614" s="2" customFormat="1" ht="14.1" customHeight="1" spans="1:6">
      <c r="A1614" s="7" t="str">
        <f>"2102605422"</f>
        <v>2102605422</v>
      </c>
      <c r="B1614" s="7" t="str">
        <f t="shared" si="86"/>
        <v>2021026</v>
      </c>
      <c r="C1614" s="7" t="str">
        <f t="shared" si="87"/>
        <v>054</v>
      </c>
      <c r="D1614" s="7" t="str">
        <f>"22"</f>
        <v>22</v>
      </c>
      <c r="E1614" s="8">
        <v>0</v>
      </c>
      <c r="F1614" s="7" t="s">
        <v>8</v>
      </c>
    </row>
    <row r="1615" s="2" customFormat="1" ht="14.1" customHeight="1" spans="1:6">
      <c r="A1615" s="7" t="str">
        <f>"2102605423"</f>
        <v>2102605423</v>
      </c>
      <c r="B1615" s="7" t="str">
        <f t="shared" si="86"/>
        <v>2021026</v>
      </c>
      <c r="C1615" s="7" t="str">
        <f t="shared" si="87"/>
        <v>054</v>
      </c>
      <c r="D1615" s="7" t="str">
        <f>"23"</f>
        <v>23</v>
      </c>
      <c r="E1615" s="8">
        <v>0</v>
      </c>
      <c r="F1615" s="7" t="s">
        <v>8</v>
      </c>
    </row>
    <row r="1616" s="2" customFormat="1" ht="14.1" customHeight="1" spans="1:6">
      <c r="A1616" s="7" t="str">
        <f>"2102605424"</f>
        <v>2102605424</v>
      </c>
      <c r="B1616" s="7" t="str">
        <f t="shared" si="86"/>
        <v>2021026</v>
      </c>
      <c r="C1616" s="7" t="str">
        <f t="shared" si="87"/>
        <v>054</v>
      </c>
      <c r="D1616" s="7" t="str">
        <f>"24"</f>
        <v>24</v>
      </c>
      <c r="E1616" s="8">
        <v>62.8</v>
      </c>
      <c r="F1616" s="7" t="s">
        <v>7</v>
      </c>
    </row>
    <row r="1617" s="2" customFormat="1" ht="14.1" customHeight="1" spans="1:6">
      <c r="A1617" s="7" t="str">
        <f>"2102605425"</f>
        <v>2102605425</v>
      </c>
      <c r="B1617" s="7" t="str">
        <f t="shared" si="86"/>
        <v>2021026</v>
      </c>
      <c r="C1617" s="7" t="str">
        <f t="shared" si="87"/>
        <v>054</v>
      </c>
      <c r="D1617" s="7" t="str">
        <f>"25"</f>
        <v>25</v>
      </c>
      <c r="E1617" s="8">
        <v>0</v>
      </c>
      <c r="F1617" s="7" t="s">
        <v>8</v>
      </c>
    </row>
    <row r="1618" s="2" customFormat="1" ht="14.1" customHeight="1" spans="1:6">
      <c r="A1618" s="7" t="str">
        <f>"2102605426"</f>
        <v>2102605426</v>
      </c>
      <c r="B1618" s="7" t="str">
        <f t="shared" si="86"/>
        <v>2021026</v>
      </c>
      <c r="C1618" s="7" t="str">
        <f t="shared" si="87"/>
        <v>054</v>
      </c>
      <c r="D1618" s="7" t="str">
        <f>"26"</f>
        <v>26</v>
      </c>
      <c r="E1618" s="8">
        <v>0</v>
      </c>
      <c r="F1618" s="7" t="s">
        <v>8</v>
      </c>
    </row>
    <row r="1619" s="2" customFormat="1" ht="14.1" customHeight="1" spans="1:6">
      <c r="A1619" s="7" t="str">
        <f>"2102605427"</f>
        <v>2102605427</v>
      </c>
      <c r="B1619" s="7" t="str">
        <f t="shared" si="86"/>
        <v>2021026</v>
      </c>
      <c r="C1619" s="7" t="str">
        <f t="shared" si="87"/>
        <v>054</v>
      </c>
      <c r="D1619" s="7" t="str">
        <f>"27"</f>
        <v>27</v>
      </c>
      <c r="E1619" s="8">
        <v>0</v>
      </c>
      <c r="F1619" s="7" t="s">
        <v>8</v>
      </c>
    </row>
    <row r="1620" s="2" customFormat="1" ht="14.1" customHeight="1" spans="1:6">
      <c r="A1620" s="7" t="str">
        <f>"2102605428"</f>
        <v>2102605428</v>
      </c>
      <c r="B1620" s="7" t="str">
        <f t="shared" si="86"/>
        <v>2021026</v>
      </c>
      <c r="C1620" s="7" t="str">
        <f t="shared" si="87"/>
        <v>054</v>
      </c>
      <c r="D1620" s="7" t="str">
        <f>"28"</f>
        <v>28</v>
      </c>
      <c r="E1620" s="8">
        <v>58.2</v>
      </c>
      <c r="F1620" s="7" t="s">
        <v>7</v>
      </c>
    </row>
    <row r="1621" s="2" customFormat="1" ht="14.1" customHeight="1" spans="1:6">
      <c r="A1621" s="7" t="str">
        <f>"2102605429"</f>
        <v>2102605429</v>
      </c>
      <c r="B1621" s="7" t="str">
        <f t="shared" si="86"/>
        <v>2021026</v>
      </c>
      <c r="C1621" s="7" t="str">
        <f t="shared" si="87"/>
        <v>054</v>
      </c>
      <c r="D1621" s="7" t="str">
        <f>"29"</f>
        <v>29</v>
      </c>
      <c r="E1621" s="8">
        <v>0</v>
      </c>
      <c r="F1621" s="7" t="s">
        <v>8</v>
      </c>
    </row>
    <row r="1622" s="2" customFormat="1" ht="14.1" customHeight="1" spans="1:6">
      <c r="A1622" s="7" t="str">
        <f>"2102605430"</f>
        <v>2102605430</v>
      </c>
      <c r="B1622" s="7" t="str">
        <f t="shared" si="86"/>
        <v>2021026</v>
      </c>
      <c r="C1622" s="7" t="str">
        <f t="shared" si="87"/>
        <v>054</v>
      </c>
      <c r="D1622" s="7" t="str">
        <f>"30"</f>
        <v>30</v>
      </c>
      <c r="E1622" s="8">
        <v>0</v>
      </c>
      <c r="F1622" s="7" t="s">
        <v>8</v>
      </c>
    </row>
    <row r="1623" s="2" customFormat="1" ht="14.1" customHeight="1" spans="1:6">
      <c r="A1623" s="7" t="str">
        <f>"2102605501"</f>
        <v>2102605501</v>
      </c>
      <c r="B1623" s="7" t="str">
        <f t="shared" si="86"/>
        <v>2021026</v>
      </c>
      <c r="C1623" s="7" t="str">
        <f t="shared" ref="C1623:C1652" si="88">"055"</f>
        <v>055</v>
      </c>
      <c r="D1623" s="7" t="str">
        <f>"01"</f>
        <v>01</v>
      </c>
      <c r="E1623" s="8">
        <v>49.2</v>
      </c>
      <c r="F1623" s="7" t="s">
        <v>7</v>
      </c>
    </row>
    <row r="1624" s="2" customFormat="1" ht="14.1" customHeight="1" spans="1:6">
      <c r="A1624" s="7" t="str">
        <f>"2102605502"</f>
        <v>2102605502</v>
      </c>
      <c r="B1624" s="7" t="str">
        <f t="shared" si="86"/>
        <v>2021026</v>
      </c>
      <c r="C1624" s="7" t="str">
        <f t="shared" si="88"/>
        <v>055</v>
      </c>
      <c r="D1624" s="7" t="str">
        <f>"02"</f>
        <v>02</v>
      </c>
      <c r="E1624" s="8">
        <v>0</v>
      </c>
      <c r="F1624" s="7" t="s">
        <v>8</v>
      </c>
    </row>
    <row r="1625" s="2" customFormat="1" ht="14.1" customHeight="1" spans="1:6">
      <c r="A1625" s="7" t="str">
        <f>"2102605503"</f>
        <v>2102605503</v>
      </c>
      <c r="B1625" s="7" t="str">
        <f t="shared" si="86"/>
        <v>2021026</v>
      </c>
      <c r="C1625" s="7" t="str">
        <f t="shared" si="88"/>
        <v>055</v>
      </c>
      <c r="D1625" s="7" t="str">
        <f>"03"</f>
        <v>03</v>
      </c>
      <c r="E1625" s="8">
        <v>0</v>
      </c>
      <c r="F1625" s="7" t="s">
        <v>8</v>
      </c>
    </row>
    <row r="1626" s="2" customFormat="1" ht="14.1" customHeight="1" spans="1:6">
      <c r="A1626" s="7" t="str">
        <f>"2102605504"</f>
        <v>2102605504</v>
      </c>
      <c r="B1626" s="7" t="str">
        <f t="shared" si="86"/>
        <v>2021026</v>
      </c>
      <c r="C1626" s="7" t="str">
        <f t="shared" si="88"/>
        <v>055</v>
      </c>
      <c r="D1626" s="7" t="str">
        <f>"04"</f>
        <v>04</v>
      </c>
      <c r="E1626" s="8">
        <v>63</v>
      </c>
      <c r="F1626" s="7" t="s">
        <v>7</v>
      </c>
    </row>
    <row r="1627" s="2" customFormat="1" ht="14.1" customHeight="1" spans="1:6">
      <c r="A1627" s="7" t="str">
        <f>"2102605505"</f>
        <v>2102605505</v>
      </c>
      <c r="B1627" s="7" t="str">
        <f t="shared" si="86"/>
        <v>2021026</v>
      </c>
      <c r="C1627" s="7" t="str">
        <f t="shared" si="88"/>
        <v>055</v>
      </c>
      <c r="D1627" s="7" t="str">
        <f>"05"</f>
        <v>05</v>
      </c>
      <c r="E1627" s="8">
        <v>64.6</v>
      </c>
      <c r="F1627" s="7" t="s">
        <v>7</v>
      </c>
    </row>
    <row r="1628" s="2" customFormat="1" ht="14.1" customHeight="1" spans="1:6">
      <c r="A1628" s="7" t="str">
        <f>"2102605506"</f>
        <v>2102605506</v>
      </c>
      <c r="B1628" s="7" t="str">
        <f t="shared" si="86"/>
        <v>2021026</v>
      </c>
      <c r="C1628" s="7" t="str">
        <f t="shared" si="88"/>
        <v>055</v>
      </c>
      <c r="D1628" s="7" t="str">
        <f>"06"</f>
        <v>06</v>
      </c>
      <c r="E1628" s="8">
        <v>58.2</v>
      </c>
      <c r="F1628" s="7" t="s">
        <v>7</v>
      </c>
    </row>
    <row r="1629" s="2" customFormat="1" ht="14.1" customHeight="1" spans="1:6">
      <c r="A1629" s="7" t="str">
        <f>"2102605507"</f>
        <v>2102605507</v>
      </c>
      <c r="B1629" s="7" t="str">
        <f t="shared" si="86"/>
        <v>2021026</v>
      </c>
      <c r="C1629" s="7" t="str">
        <f t="shared" si="88"/>
        <v>055</v>
      </c>
      <c r="D1629" s="7" t="str">
        <f>"07"</f>
        <v>07</v>
      </c>
      <c r="E1629" s="8">
        <v>0</v>
      </c>
      <c r="F1629" s="7" t="s">
        <v>8</v>
      </c>
    </row>
    <row r="1630" s="2" customFormat="1" ht="14.1" customHeight="1" spans="1:6">
      <c r="A1630" s="7" t="str">
        <f>"2102605508"</f>
        <v>2102605508</v>
      </c>
      <c r="B1630" s="7" t="str">
        <f t="shared" si="86"/>
        <v>2021026</v>
      </c>
      <c r="C1630" s="7" t="str">
        <f t="shared" si="88"/>
        <v>055</v>
      </c>
      <c r="D1630" s="7" t="str">
        <f>"08"</f>
        <v>08</v>
      </c>
      <c r="E1630" s="8">
        <v>0</v>
      </c>
      <c r="F1630" s="7" t="s">
        <v>8</v>
      </c>
    </row>
    <row r="1631" s="2" customFormat="1" ht="14.1" customHeight="1" spans="1:6">
      <c r="A1631" s="7" t="str">
        <f>"2102605509"</f>
        <v>2102605509</v>
      </c>
      <c r="B1631" s="7" t="str">
        <f t="shared" si="86"/>
        <v>2021026</v>
      </c>
      <c r="C1631" s="7" t="str">
        <f t="shared" si="88"/>
        <v>055</v>
      </c>
      <c r="D1631" s="7" t="str">
        <f>"09"</f>
        <v>09</v>
      </c>
      <c r="E1631" s="8">
        <v>0</v>
      </c>
      <c r="F1631" s="7" t="s">
        <v>8</v>
      </c>
    </row>
    <row r="1632" s="2" customFormat="1" ht="14.1" customHeight="1" spans="1:6">
      <c r="A1632" s="7" t="str">
        <f>"2102605510"</f>
        <v>2102605510</v>
      </c>
      <c r="B1632" s="7" t="str">
        <f t="shared" si="86"/>
        <v>2021026</v>
      </c>
      <c r="C1632" s="7" t="str">
        <f t="shared" si="88"/>
        <v>055</v>
      </c>
      <c r="D1632" s="7" t="str">
        <f>"10"</f>
        <v>10</v>
      </c>
      <c r="E1632" s="8">
        <v>48.2</v>
      </c>
      <c r="F1632" s="7" t="s">
        <v>7</v>
      </c>
    </row>
    <row r="1633" s="2" customFormat="1" ht="14.1" customHeight="1" spans="1:6">
      <c r="A1633" s="7" t="str">
        <f>"2102605511"</f>
        <v>2102605511</v>
      </c>
      <c r="B1633" s="7" t="str">
        <f t="shared" si="86"/>
        <v>2021026</v>
      </c>
      <c r="C1633" s="7" t="str">
        <f t="shared" si="88"/>
        <v>055</v>
      </c>
      <c r="D1633" s="7" t="str">
        <f>"11"</f>
        <v>11</v>
      </c>
      <c r="E1633" s="8">
        <v>0</v>
      </c>
      <c r="F1633" s="7" t="s">
        <v>8</v>
      </c>
    </row>
    <row r="1634" s="2" customFormat="1" ht="14.1" customHeight="1" spans="1:6">
      <c r="A1634" s="7" t="str">
        <f>"2102605512"</f>
        <v>2102605512</v>
      </c>
      <c r="B1634" s="7" t="str">
        <f t="shared" si="86"/>
        <v>2021026</v>
      </c>
      <c r="C1634" s="7" t="str">
        <f t="shared" si="88"/>
        <v>055</v>
      </c>
      <c r="D1634" s="7" t="str">
        <f>"12"</f>
        <v>12</v>
      </c>
      <c r="E1634" s="8">
        <v>62.7</v>
      </c>
      <c r="F1634" s="7" t="s">
        <v>7</v>
      </c>
    </row>
    <row r="1635" s="2" customFormat="1" ht="14.1" customHeight="1" spans="1:6">
      <c r="A1635" s="7" t="str">
        <f>"2102605513"</f>
        <v>2102605513</v>
      </c>
      <c r="B1635" s="7" t="str">
        <f t="shared" ref="B1635:B1641" si="89">"2021026"</f>
        <v>2021026</v>
      </c>
      <c r="C1635" s="7" t="str">
        <f t="shared" si="88"/>
        <v>055</v>
      </c>
      <c r="D1635" s="7" t="str">
        <f>"13"</f>
        <v>13</v>
      </c>
      <c r="E1635" s="8">
        <v>55.7</v>
      </c>
      <c r="F1635" s="7" t="s">
        <v>7</v>
      </c>
    </row>
    <row r="1636" s="2" customFormat="1" ht="14.1" customHeight="1" spans="1:6">
      <c r="A1636" s="7" t="str">
        <f>"2102605514"</f>
        <v>2102605514</v>
      </c>
      <c r="B1636" s="7" t="str">
        <f t="shared" si="89"/>
        <v>2021026</v>
      </c>
      <c r="C1636" s="7" t="str">
        <f t="shared" si="88"/>
        <v>055</v>
      </c>
      <c r="D1636" s="7" t="str">
        <f>"14"</f>
        <v>14</v>
      </c>
      <c r="E1636" s="8">
        <v>60</v>
      </c>
      <c r="F1636" s="7" t="s">
        <v>7</v>
      </c>
    </row>
    <row r="1637" s="2" customFormat="1" ht="14.1" customHeight="1" spans="1:6">
      <c r="A1637" s="7" t="str">
        <f>"2102605515"</f>
        <v>2102605515</v>
      </c>
      <c r="B1637" s="7" t="str">
        <f t="shared" si="89"/>
        <v>2021026</v>
      </c>
      <c r="C1637" s="7" t="str">
        <f t="shared" si="88"/>
        <v>055</v>
      </c>
      <c r="D1637" s="7" t="str">
        <f>"15"</f>
        <v>15</v>
      </c>
      <c r="E1637" s="8">
        <v>62</v>
      </c>
      <c r="F1637" s="7" t="s">
        <v>7</v>
      </c>
    </row>
    <row r="1638" s="2" customFormat="1" ht="14.1" customHeight="1" spans="1:6">
      <c r="A1638" s="7" t="str">
        <f>"2102605516"</f>
        <v>2102605516</v>
      </c>
      <c r="B1638" s="7" t="str">
        <f t="shared" si="89"/>
        <v>2021026</v>
      </c>
      <c r="C1638" s="7" t="str">
        <f t="shared" si="88"/>
        <v>055</v>
      </c>
      <c r="D1638" s="7" t="str">
        <f>"16"</f>
        <v>16</v>
      </c>
      <c r="E1638" s="8">
        <v>70</v>
      </c>
      <c r="F1638" s="7" t="s">
        <v>7</v>
      </c>
    </row>
    <row r="1639" s="2" customFormat="1" ht="14.1" customHeight="1" spans="1:6">
      <c r="A1639" s="7" t="str">
        <f>"2102605517"</f>
        <v>2102605517</v>
      </c>
      <c r="B1639" s="7" t="str">
        <f t="shared" si="89"/>
        <v>2021026</v>
      </c>
      <c r="C1639" s="7" t="str">
        <f t="shared" si="88"/>
        <v>055</v>
      </c>
      <c r="D1639" s="7" t="str">
        <f>"17"</f>
        <v>17</v>
      </c>
      <c r="E1639" s="8">
        <v>61.1</v>
      </c>
      <c r="F1639" s="7" t="s">
        <v>7</v>
      </c>
    </row>
    <row r="1640" s="2" customFormat="1" ht="14.1" customHeight="1" spans="1:6">
      <c r="A1640" s="7" t="str">
        <f>"2102605518"</f>
        <v>2102605518</v>
      </c>
      <c r="B1640" s="7" t="str">
        <f t="shared" si="89"/>
        <v>2021026</v>
      </c>
      <c r="C1640" s="7" t="str">
        <f t="shared" si="88"/>
        <v>055</v>
      </c>
      <c r="D1640" s="7" t="str">
        <f>"18"</f>
        <v>18</v>
      </c>
      <c r="E1640" s="8">
        <v>0</v>
      </c>
      <c r="F1640" s="7" t="s">
        <v>8</v>
      </c>
    </row>
    <row r="1641" s="2" customFormat="1" ht="14.1" customHeight="1" spans="1:6">
      <c r="A1641" s="7" t="str">
        <f>"2102605519"</f>
        <v>2102605519</v>
      </c>
      <c r="B1641" s="7" t="str">
        <f t="shared" si="89"/>
        <v>2021026</v>
      </c>
      <c r="C1641" s="7" t="str">
        <f t="shared" si="88"/>
        <v>055</v>
      </c>
      <c r="D1641" s="7" t="str">
        <f>"19"</f>
        <v>19</v>
      </c>
      <c r="E1641" s="8">
        <v>53</v>
      </c>
      <c r="F1641" s="7" t="s">
        <v>7</v>
      </c>
    </row>
    <row r="1642" s="2" customFormat="1" ht="14.1" customHeight="1" spans="1:6">
      <c r="A1642" s="7" t="str">
        <f>"2102705520"</f>
        <v>2102705520</v>
      </c>
      <c r="B1642" s="7" t="str">
        <f t="shared" ref="B1642:B1705" si="90">"2021027"</f>
        <v>2021027</v>
      </c>
      <c r="C1642" s="7" t="str">
        <f t="shared" si="88"/>
        <v>055</v>
      </c>
      <c r="D1642" s="7" t="str">
        <f>"20"</f>
        <v>20</v>
      </c>
      <c r="E1642" s="8">
        <v>49.5</v>
      </c>
      <c r="F1642" s="7" t="s">
        <v>7</v>
      </c>
    </row>
    <row r="1643" s="2" customFormat="1" ht="14.1" customHeight="1" spans="1:6">
      <c r="A1643" s="7" t="str">
        <f>"2102705521"</f>
        <v>2102705521</v>
      </c>
      <c r="B1643" s="7" t="str">
        <f t="shared" si="90"/>
        <v>2021027</v>
      </c>
      <c r="C1643" s="7" t="str">
        <f t="shared" si="88"/>
        <v>055</v>
      </c>
      <c r="D1643" s="7" t="str">
        <f>"21"</f>
        <v>21</v>
      </c>
      <c r="E1643" s="8">
        <v>48.4</v>
      </c>
      <c r="F1643" s="7" t="s">
        <v>7</v>
      </c>
    </row>
    <row r="1644" s="2" customFormat="1" ht="14.1" customHeight="1" spans="1:6">
      <c r="A1644" s="7" t="str">
        <f>"2102705522"</f>
        <v>2102705522</v>
      </c>
      <c r="B1644" s="7" t="str">
        <f t="shared" si="90"/>
        <v>2021027</v>
      </c>
      <c r="C1644" s="7" t="str">
        <f t="shared" si="88"/>
        <v>055</v>
      </c>
      <c r="D1644" s="7" t="str">
        <f>"22"</f>
        <v>22</v>
      </c>
      <c r="E1644" s="8">
        <v>50.9</v>
      </c>
      <c r="F1644" s="7" t="s">
        <v>7</v>
      </c>
    </row>
    <row r="1645" s="2" customFormat="1" ht="14.1" customHeight="1" spans="1:6">
      <c r="A1645" s="7" t="str">
        <f>"2102705523"</f>
        <v>2102705523</v>
      </c>
      <c r="B1645" s="7" t="str">
        <f t="shared" si="90"/>
        <v>2021027</v>
      </c>
      <c r="C1645" s="7" t="str">
        <f t="shared" si="88"/>
        <v>055</v>
      </c>
      <c r="D1645" s="7" t="str">
        <f>"23"</f>
        <v>23</v>
      </c>
      <c r="E1645" s="8">
        <v>0</v>
      </c>
      <c r="F1645" s="7" t="s">
        <v>8</v>
      </c>
    </row>
    <row r="1646" s="2" customFormat="1" ht="14.1" customHeight="1" spans="1:6">
      <c r="A1646" s="7" t="str">
        <f>"2102705524"</f>
        <v>2102705524</v>
      </c>
      <c r="B1646" s="7" t="str">
        <f t="shared" si="90"/>
        <v>2021027</v>
      </c>
      <c r="C1646" s="7" t="str">
        <f t="shared" si="88"/>
        <v>055</v>
      </c>
      <c r="D1646" s="7" t="str">
        <f>"24"</f>
        <v>24</v>
      </c>
      <c r="E1646" s="8">
        <v>55.6</v>
      </c>
      <c r="F1646" s="7" t="s">
        <v>7</v>
      </c>
    </row>
    <row r="1647" s="2" customFormat="1" ht="14.1" customHeight="1" spans="1:6">
      <c r="A1647" s="7" t="str">
        <f>"2102705525"</f>
        <v>2102705525</v>
      </c>
      <c r="B1647" s="7" t="str">
        <f t="shared" si="90"/>
        <v>2021027</v>
      </c>
      <c r="C1647" s="7" t="str">
        <f t="shared" si="88"/>
        <v>055</v>
      </c>
      <c r="D1647" s="7" t="str">
        <f>"25"</f>
        <v>25</v>
      </c>
      <c r="E1647" s="8">
        <v>0</v>
      </c>
      <c r="F1647" s="7" t="s">
        <v>8</v>
      </c>
    </row>
    <row r="1648" s="2" customFormat="1" ht="14.1" customHeight="1" spans="1:6">
      <c r="A1648" s="7" t="str">
        <f>"2102705526"</f>
        <v>2102705526</v>
      </c>
      <c r="B1648" s="7" t="str">
        <f t="shared" si="90"/>
        <v>2021027</v>
      </c>
      <c r="C1648" s="7" t="str">
        <f t="shared" si="88"/>
        <v>055</v>
      </c>
      <c r="D1648" s="7" t="str">
        <f>"26"</f>
        <v>26</v>
      </c>
      <c r="E1648" s="8">
        <v>47</v>
      </c>
      <c r="F1648" s="7" t="s">
        <v>7</v>
      </c>
    </row>
    <row r="1649" s="2" customFormat="1" ht="14.1" customHeight="1" spans="1:6">
      <c r="A1649" s="7" t="str">
        <f>"2102705527"</f>
        <v>2102705527</v>
      </c>
      <c r="B1649" s="7" t="str">
        <f t="shared" si="90"/>
        <v>2021027</v>
      </c>
      <c r="C1649" s="7" t="str">
        <f t="shared" si="88"/>
        <v>055</v>
      </c>
      <c r="D1649" s="7" t="str">
        <f>"27"</f>
        <v>27</v>
      </c>
      <c r="E1649" s="8">
        <v>70.7</v>
      </c>
      <c r="F1649" s="7" t="s">
        <v>7</v>
      </c>
    </row>
    <row r="1650" s="2" customFormat="1" ht="14.1" customHeight="1" spans="1:6">
      <c r="A1650" s="7" t="str">
        <f>"2102705528"</f>
        <v>2102705528</v>
      </c>
      <c r="B1650" s="7" t="str">
        <f t="shared" si="90"/>
        <v>2021027</v>
      </c>
      <c r="C1650" s="7" t="str">
        <f t="shared" si="88"/>
        <v>055</v>
      </c>
      <c r="D1650" s="7" t="str">
        <f>"28"</f>
        <v>28</v>
      </c>
      <c r="E1650" s="8">
        <v>75.8</v>
      </c>
      <c r="F1650" s="7" t="s">
        <v>7</v>
      </c>
    </row>
    <row r="1651" s="2" customFormat="1" ht="14.1" customHeight="1" spans="1:6">
      <c r="A1651" s="7" t="str">
        <f>"2102705529"</f>
        <v>2102705529</v>
      </c>
      <c r="B1651" s="7" t="str">
        <f t="shared" si="90"/>
        <v>2021027</v>
      </c>
      <c r="C1651" s="7" t="str">
        <f t="shared" si="88"/>
        <v>055</v>
      </c>
      <c r="D1651" s="7" t="str">
        <f>"29"</f>
        <v>29</v>
      </c>
      <c r="E1651" s="8">
        <v>62.6</v>
      </c>
      <c r="F1651" s="7" t="s">
        <v>7</v>
      </c>
    </row>
    <row r="1652" s="2" customFormat="1" ht="14.1" customHeight="1" spans="1:6">
      <c r="A1652" s="7" t="str">
        <f>"2102705530"</f>
        <v>2102705530</v>
      </c>
      <c r="B1652" s="7" t="str">
        <f t="shared" si="90"/>
        <v>2021027</v>
      </c>
      <c r="C1652" s="7" t="str">
        <f t="shared" si="88"/>
        <v>055</v>
      </c>
      <c r="D1652" s="7" t="str">
        <f>"30"</f>
        <v>30</v>
      </c>
      <c r="E1652" s="8">
        <v>53.1</v>
      </c>
      <c r="F1652" s="7" t="s">
        <v>7</v>
      </c>
    </row>
    <row r="1653" s="2" customFormat="1" ht="14.1" customHeight="1" spans="1:6">
      <c r="A1653" s="7" t="str">
        <f>"2102705601"</f>
        <v>2102705601</v>
      </c>
      <c r="B1653" s="7" t="str">
        <f t="shared" si="90"/>
        <v>2021027</v>
      </c>
      <c r="C1653" s="7" t="str">
        <f t="shared" ref="C1653:C1682" si="91">"056"</f>
        <v>056</v>
      </c>
      <c r="D1653" s="7" t="str">
        <f>"01"</f>
        <v>01</v>
      </c>
      <c r="E1653" s="8">
        <v>70.3</v>
      </c>
      <c r="F1653" s="7" t="s">
        <v>7</v>
      </c>
    </row>
    <row r="1654" s="2" customFormat="1" ht="14.1" customHeight="1" spans="1:6">
      <c r="A1654" s="7" t="str">
        <f>"2102705602"</f>
        <v>2102705602</v>
      </c>
      <c r="B1654" s="7" t="str">
        <f t="shared" si="90"/>
        <v>2021027</v>
      </c>
      <c r="C1654" s="7" t="str">
        <f t="shared" si="91"/>
        <v>056</v>
      </c>
      <c r="D1654" s="7" t="str">
        <f>"02"</f>
        <v>02</v>
      </c>
      <c r="E1654" s="8">
        <v>57.9</v>
      </c>
      <c r="F1654" s="7" t="s">
        <v>7</v>
      </c>
    </row>
    <row r="1655" s="2" customFormat="1" ht="14.1" customHeight="1" spans="1:6">
      <c r="A1655" s="7" t="str">
        <f>"2102705603"</f>
        <v>2102705603</v>
      </c>
      <c r="B1655" s="7" t="str">
        <f t="shared" si="90"/>
        <v>2021027</v>
      </c>
      <c r="C1655" s="7" t="str">
        <f t="shared" si="91"/>
        <v>056</v>
      </c>
      <c r="D1655" s="7" t="str">
        <f>"03"</f>
        <v>03</v>
      </c>
      <c r="E1655" s="8">
        <v>0</v>
      </c>
      <c r="F1655" s="7" t="s">
        <v>8</v>
      </c>
    </row>
    <row r="1656" s="2" customFormat="1" ht="14.1" customHeight="1" spans="1:6">
      <c r="A1656" s="7" t="str">
        <f>"2102705604"</f>
        <v>2102705604</v>
      </c>
      <c r="B1656" s="7" t="str">
        <f t="shared" si="90"/>
        <v>2021027</v>
      </c>
      <c r="C1656" s="7" t="str">
        <f t="shared" si="91"/>
        <v>056</v>
      </c>
      <c r="D1656" s="7" t="str">
        <f>"04"</f>
        <v>04</v>
      </c>
      <c r="E1656" s="8">
        <v>0</v>
      </c>
      <c r="F1656" s="7" t="s">
        <v>8</v>
      </c>
    </row>
    <row r="1657" s="2" customFormat="1" ht="14.1" customHeight="1" spans="1:6">
      <c r="A1657" s="7" t="str">
        <f>"2102705605"</f>
        <v>2102705605</v>
      </c>
      <c r="B1657" s="7" t="str">
        <f t="shared" si="90"/>
        <v>2021027</v>
      </c>
      <c r="C1657" s="7" t="str">
        <f t="shared" si="91"/>
        <v>056</v>
      </c>
      <c r="D1657" s="7" t="str">
        <f>"05"</f>
        <v>05</v>
      </c>
      <c r="E1657" s="8">
        <v>0</v>
      </c>
      <c r="F1657" s="7" t="s">
        <v>8</v>
      </c>
    </row>
    <row r="1658" s="2" customFormat="1" ht="14.1" customHeight="1" spans="1:6">
      <c r="A1658" s="7" t="str">
        <f>"2102705606"</f>
        <v>2102705606</v>
      </c>
      <c r="B1658" s="7" t="str">
        <f t="shared" si="90"/>
        <v>2021027</v>
      </c>
      <c r="C1658" s="7" t="str">
        <f t="shared" si="91"/>
        <v>056</v>
      </c>
      <c r="D1658" s="7" t="str">
        <f>"06"</f>
        <v>06</v>
      </c>
      <c r="E1658" s="8">
        <v>0</v>
      </c>
      <c r="F1658" s="7" t="s">
        <v>8</v>
      </c>
    </row>
    <row r="1659" s="2" customFormat="1" ht="14.1" customHeight="1" spans="1:6">
      <c r="A1659" s="7" t="str">
        <f>"2102705607"</f>
        <v>2102705607</v>
      </c>
      <c r="B1659" s="7" t="str">
        <f t="shared" si="90"/>
        <v>2021027</v>
      </c>
      <c r="C1659" s="7" t="str">
        <f t="shared" si="91"/>
        <v>056</v>
      </c>
      <c r="D1659" s="7" t="str">
        <f>"07"</f>
        <v>07</v>
      </c>
      <c r="E1659" s="8">
        <v>62.2</v>
      </c>
      <c r="F1659" s="7" t="s">
        <v>7</v>
      </c>
    </row>
    <row r="1660" s="2" customFormat="1" ht="14.1" customHeight="1" spans="1:6">
      <c r="A1660" s="7" t="str">
        <f>"2102705608"</f>
        <v>2102705608</v>
      </c>
      <c r="B1660" s="7" t="str">
        <f t="shared" si="90"/>
        <v>2021027</v>
      </c>
      <c r="C1660" s="7" t="str">
        <f t="shared" si="91"/>
        <v>056</v>
      </c>
      <c r="D1660" s="7" t="str">
        <f>"08"</f>
        <v>08</v>
      </c>
      <c r="E1660" s="8">
        <v>62.7</v>
      </c>
      <c r="F1660" s="7" t="s">
        <v>7</v>
      </c>
    </row>
    <row r="1661" s="2" customFormat="1" ht="14.1" customHeight="1" spans="1:6">
      <c r="A1661" s="7" t="str">
        <f>"2102705609"</f>
        <v>2102705609</v>
      </c>
      <c r="B1661" s="7" t="str">
        <f t="shared" si="90"/>
        <v>2021027</v>
      </c>
      <c r="C1661" s="7" t="str">
        <f t="shared" si="91"/>
        <v>056</v>
      </c>
      <c r="D1661" s="7" t="str">
        <f>"09"</f>
        <v>09</v>
      </c>
      <c r="E1661" s="8">
        <v>55.6</v>
      </c>
      <c r="F1661" s="7" t="s">
        <v>7</v>
      </c>
    </row>
    <row r="1662" s="2" customFormat="1" ht="14.1" customHeight="1" spans="1:6">
      <c r="A1662" s="7" t="str">
        <f>"2102705610"</f>
        <v>2102705610</v>
      </c>
      <c r="B1662" s="7" t="str">
        <f t="shared" si="90"/>
        <v>2021027</v>
      </c>
      <c r="C1662" s="7" t="str">
        <f t="shared" si="91"/>
        <v>056</v>
      </c>
      <c r="D1662" s="7" t="str">
        <f>"10"</f>
        <v>10</v>
      </c>
      <c r="E1662" s="8">
        <v>0</v>
      </c>
      <c r="F1662" s="7" t="s">
        <v>8</v>
      </c>
    </row>
    <row r="1663" s="2" customFormat="1" ht="14.1" customHeight="1" spans="1:6">
      <c r="A1663" s="7" t="str">
        <f>"2102705611"</f>
        <v>2102705611</v>
      </c>
      <c r="B1663" s="7" t="str">
        <f t="shared" si="90"/>
        <v>2021027</v>
      </c>
      <c r="C1663" s="7" t="str">
        <f t="shared" si="91"/>
        <v>056</v>
      </c>
      <c r="D1663" s="7" t="str">
        <f>"11"</f>
        <v>11</v>
      </c>
      <c r="E1663" s="8">
        <v>0</v>
      </c>
      <c r="F1663" s="7" t="s">
        <v>8</v>
      </c>
    </row>
    <row r="1664" s="2" customFormat="1" ht="14.1" customHeight="1" spans="1:6">
      <c r="A1664" s="7" t="str">
        <f>"2102705612"</f>
        <v>2102705612</v>
      </c>
      <c r="B1664" s="7" t="str">
        <f t="shared" si="90"/>
        <v>2021027</v>
      </c>
      <c r="C1664" s="7" t="str">
        <f t="shared" si="91"/>
        <v>056</v>
      </c>
      <c r="D1664" s="7" t="str">
        <f>"12"</f>
        <v>12</v>
      </c>
      <c r="E1664" s="8">
        <v>0</v>
      </c>
      <c r="F1664" s="7" t="s">
        <v>8</v>
      </c>
    </row>
    <row r="1665" s="2" customFormat="1" ht="14.1" customHeight="1" spans="1:6">
      <c r="A1665" s="7" t="str">
        <f>"2102705613"</f>
        <v>2102705613</v>
      </c>
      <c r="B1665" s="7" t="str">
        <f t="shared" si="90"/>
        <v>2021027</v>
      </c>
      <c r="C1665" s="7" t="str">
        <f t="shared" si="91"/>
        <v>056</v>
      </c>
      <c r="D1665" s="7" t="str">
        <f>"13"</f>
        <v>13</v>
      </c>
      <c r="E1665" s="8">
        <v>0</v>
      </c>
      <c r="F1665" s="7" t="s">
        <v>8</v>
      </c>
    </row>
    <row r="1666" s="2" customFormat="1" ht="14.1" customHeight="1" spans="1:6">
      <c r="A1666" s="7" t="str">
        <f>"2102705614"</f>
        <v>2102705614</v>
      </c>
      <c r="B1666" s="7" t="str">
        <f t="shared" si="90"/>
        <v>2021027</v>
      </c>
      <c r="C1666" s="7" t="str">
        <f t="shared" si="91"/>
        <v>056</v>
      </c>
      <c r="D1666" s="7" t="str">
        <f>"14"</f>
        <v>14</v>
      </c>
      <c r="E1666" s="8">
        <v>0</v>
      </c>
      <c r="F1666" s="7" t="s">
        <v>8</v>
      </c>
    </row>
    <row r="1667" s="2" customFormat="1" ht="14.1" customHeight="1" spans="1:6">
      <c r="A1667" s="7" t="str">
        <f>"2102705615"</f>
        <v>2102705615</v>
      </c>
      <c r="B1667" s="7" t="str">
        <f t="shared" si="90"/>
        <v>2021027</v>
      </c>
      <c r="C1667" s="7" t="str">
        <f t="shared" si="91"/>
        <v>056</v>
      </c>
      <c r="D1667" s="7" t="str">
        <f>"15"</f>
        <v>15</v>
      </c>
      <c r="E1667" s="8">
        <v>0</v>
      </c>
      <c r="F1667" s="7" t="s">
        <v>8</v>
      </c>
    </row>
    <row r="1668" s="2" customFormat="1" ht="14.1" customHeight="1" spans="1:6">
      <c r="A1668" s="7" t="str">
        <f>"2102705616"</f>
        <v>2102705616</v>
      </c>
      <c r="B1668" s="7" t="str">
        <f t="shared" si="90"/>
        <v>2021027</v>
      </c>
      <c r="C1668" s="7" t="str">
        <f t="shared" si="91"/>
        <v>056</v>
      </c>
      <c r="D1668" s="7" t="str">
        <f>"16"</f>
        <v>16</v>
      </c>
      <c r="E1668" s="8">
        <v>0</v>
      </c>
      <c r="F1668" s="7" t="s">
        <v>8</v>
      </c>
    </row>
    <row r="1669" s="2" customFormat="1" ht="14.1" customHeight="1" spans="1:6">
      <c r="A1669" s="7" t="str">
        <f>"2102705617"</f>
        <v>2102705617</v>
      </c>
      <c r="B1669" s="7" t="str">
        <f t="shared" si="90"/>
        <v>2021027</v>
      </c>
      <c r="C1669" s="7" t="str">
        <f t="shared" si="91"/>
        <v>056</v>
      </c>
      <c r="D1669" s="7" t="str">
        <f>"17"</f>
        <v>17</v>
      </c>
      <c r="E1669" s="8">
        <v>55.7</v>
      </c>
      <c r="F1669" s="7" t="s">
        <v>7</v>
      </c>
    </row>
    <row r="1670" s="2" customFormat="1" ht="14.1" customHeight="1" spans="1:6">
      <c r="A1670" s="7" t="str">
        <f>"2102705618"</f>
        <v>2102705618</v>
      </c>
      <c r="B1670" s="7" t="str">
        <f t="shared" si="90"/>
        <v>2021027</v>
      </c>
      <c r="C1670" s="7" t="str">
        <f t="shared" si="91"/>
        <v>056</v>
      </c>
      <c r="D1670" s="7" t="str">
        <f>"18"</f>
        <v>18</v>
      </c>
      <c r="E1670" s="8">
        <v>65.7</v>
      </c>
      <c r="F1670" s="7" t="s">
        <v>7</v>
      </c>
    </row>
    <row r="1671" s="2" customFormat="1" ht="14.1" customHeight="1" spans="1:6">
      <c r="A1671" s="7" t="str">
        <f>"2102705619"</f>
        <v>2102705619</v>
      </c>
      <c r="B1671" s="7" t="str">
        <f t="shared" si="90"/>
        <v>2021027</v>
      </c>
      <c r="C1671" s="7" t="str">
        <f t="shared" si="91"/>
        <v>056</v>
      </c>
      <c r="D1671" s="7" t="str">
        <f>"19"</f>
        <v>19</v>
      </c>
      <c r="E1671" s="8">
        <v>0</v>
      </c>
      <c r="F1671" s="7" t="s">
        <v>8</v>
      </c>
    </row>
    <row r="1672" s="2" customFormat="1" ht="14.1" customHeight="1" spans="1:6">
      <c r="A1672" s="7" t="str">
        <f>"2102705620"</f>
        <v>2102705620</v>
      </c>
      <c r="B1672" s="7" t="str">
        <f t="shared" si="90"/>
        <v>2021027</v>
      </c>
      <c r="C1672" s="7" t="str">
        <f t="shared" si="91"/>
        <v>056</v>
      </c>
      <c r="D1672" s="7" t="str">
        <f>"20"</f>
        <v>20</v>
      </c>
      <c r="E1672" s="8">
        <v>0</v>
      </c>
      <c r="F1672" s="7" t="s">
        <v>8</v>
      </c>
    </row>
    <row r="1673" s="2" customFormat="1" ht="14.1" customHeight="1" spans="1:6">
      <c r="A1673" s="7" t="str">
        <f>"2102705621"</f>
        <v>2102705621</v>
      </c>
      <c r="B1673" s="7" t="str">
        <f t="shared" si="90"/>
        <v>2021027</v>
      </c>
      <c r="C1673" s="7" t="str">
        <f t="shared" si="91"/>
        <v>056</v>
      </c>
      <c r="D1673" s="7" t="str">
        <f>"21"</f>
        <v>21</v>
      </c>
      <c r="E1673" s="8">
        <v>55.1</v>
      </c>
      <c r="F1673" s="7" t="s">
        <v>7</v>
      </c>
    </row>
    <row r="1674" s="2" customFormat="1" ht="14.1" customHeight="1" spans="1:6">
      <c r="A1674" s="7" t="str">
        <f>"2102705622"</f>
        <v>2102705622</v>
      </c>
      <c r="B1674" s="7" t="str">
        <f t="shared" si="90"/>
        <v>2021027</v>
      </c>
      <c r="C1674" s="7" t="str">
        <f t="shared" si="91"/>
        <v>056</v>
      </c>
      <c r="D1674" s="7" t="str">
        <f>"22"</f>
        <v>22</v>
      </c>
      <c r="E1674" s="8">
        <v>61.5</v>
      </c>
      <c r="F1674" s="7" t="s">
        <v>7</v>
      </c>
    </row>
    <row r="1675" s="2" customFormat="1" ht="14.1" customHeight="1" spans="1:6">
      <c r="A1675" s="7" t="str">
        <f>"2102705623"</f>
        <v>2102705623</v>
      </c>
      <c r="B1675" s="7" t="str">
        <f t="shared" si="90"/>
        <v>2021027</v>
      </c>
      <c r="C1675" s="7" t="str">
        <f t="shared" si="91"/>
        <v>056</v>
      </c>
      <c r="D1675" s="7" t="str">
        <f>"23"</f>
        <v>23</v>
      </c>
      <c r="E1675" s="8">
        <v>0</v>
      </c>
      <c r="F1675" s="7" t="s">
        <v>8</v>
      </c>
    </row>
    <row r="1676" s="2" customFormat="1" ht="14.1" customHeight="1" spans="1:6">
      <c r="A1676" s="7" t="str">
        <f>"2102705624"</f>
        <v>2102705624</v>
      </c>
      <c r="B1676" s="7" t="str">
        <f t="shared" si="90"/>
        <v>2021027</v>
      </c>
      <c r="C1676" s="7" t="str">
        <f t="shared" si="91"/>
        <v>056</v>
      </c>
      <c r="D1676" s="7" t="str">
        <f>"24"</f>
        <v>24</v>
      </c>
      <c r="E1676" s="8">
        <v>66.1</v>
      </c>
      <c r="F1676" s="7" t="s">
        <v>7</v>
      </c>
    </row>
    <row r="1677" s="2" customFormat="1" ht="14.1" customHeight="1" spans="1:6">
      <c r="A1677" s="7" t="str">
        <f>"2102705625"</f>
        <v>2102705625</v>
      </c>
      <c r="B1677" s="7" t="str">
        <f t="shared" si="90"/>
        <v>2021027</v>
      </c>
      <c r="C1677" s="7" t="str">
        <f t="shared" si="91"/>
        <v>056</v>
      </c>
      <c r="D1677" s="7" t="str">
        <f>"25"</f>
        <v>25</v>
      </c>
      <c r="E1677" s="8">
        <v>0</v>
      </c>
      <c r="F1677" s="7" t="s">
        <v>8</v>
      </c>
    </row>
    <row r="1678" s="2" customFormat="1" ht="14.1" customHeight="1" spans="1:6">
      <c r="A1678" s="7" t="str">
        <f>"2102705626"</f>
        <v>2102705626</v>
      </c>
      <c r="B1678" s="7" t="str">
        <f t="shared" si="90"/>
        <v>2021027</v>
      </c>
      <c r="C1678" s="7" t="str">
        <f t="shared" si="91"/>
        <v>056</v>
      </c>
      <c r="D1678" s="7" t="str">
        <f>"26"</f>
        <v>26</v>
      </c>
      <c r="E1678" s="8">
        <v>65.1</v>
      </c>
      <c r="F1678" s="7" t="s">
        <v>7</v>
      </c>
    </row>
    <row r="1679" s="2" customFormat="1" ht="14.1" customHeight="1" spans="1:6">
      <c r="A1679" s="7" t="str">
        <f>"2102705627"</f>
        <v>2102705627</v>
      </c>
      <c r="B1679" s="7" t="str">
        <f t="shared" si="90"/>
        <v>2021027</v>
      </c>
      <c r="C1679" s="7" t="str">
        <f t="shared" si="91"/>
        <v>056</v>
      </c>
      <c r="D1679" s="7" t="str">
        <f>"27"</f>
        <v>27</v>
      </c>
      <c r="E1679" s="8">
        <v>59.4</v>
      </c>
      <c r="F1679" s="7" t="s">
        <v>7</v>
      </c>
    </row>
    <row r="1680" s="2" customFormat="1" ht="14.1" customHeight="1" spans="1:6">
      <c r="A1680" s="7" t="str">
        <f>"2102705628"</f>
        <v>2102705628</v>
      </c>
      <c r="B1680" s="7" t="str">
        <f t="shared" si="90"/>
        <v>2021027</v>
      </c>
      <c r="C1680" s="7" t="str">
        <f t="shared" si="91"/>
        <v>056</v>
      </c>
      <c r="D1680" s="7" t="str">
        <f>"28"</f>
        <v>28</v>
      </c>
      <c r="E1680" s="8">
        <v>56.5</v>
      </c>
      <c r="F1680" s="7" t="s">
        <v>7</v>
      </c>
    </row>
    <row r="1681" s="2" customFormat="1" ht="14.1" customHeight="1" spans="1:6">
      <c r="A1681" s="7" t="str">
        <f>"2102705629"</f>
        <v>2102705629</v>
      </c>
      <c r="B1681" s="7" t="str">
        <f t="shared" si="90"/>
        <v>2021027</v>
      </c>
      <c r="C1681" s="7" t="str">
        <f t="shared" si="91"/>
        <v>056</v>
      </c>
      <c r="D1681" s="7" t="str">
        <f>"29"</f>
        <v>29</v>
      </c>
      <c r="E1681" s="8">
        <v>75.8</v>
      </c>
      <c r="F1681" s="7" t="s">
        <v>7</v>
      </c>
    </row>
    <row r="1682" s="2" customFormat="1" ht="14.1" customHeight="1" spans="1:6">
      <c r="A1682" s="7" t="str">
        <f>"2102705630"</f>
        <v>2102705630</v>
      </c>
      <c r="B1682" s="7" t="str">
        <f t="shared" si="90"/>
        <v>2021027</v>
      </c>
      <c r="C1682" s="7" t="str">
        <f t="shared" si="91"/>
        <v>056</v>
      </c>
      <c r="D1682" s="7" t="str">
        <f>"30"</f>
        <v>30</v>
      </c>
      <c r="E1682" s="8">
        <v>58.4</v>
      </c>
      <c r="F1682" s="7" t="s">
        <v>7</v>
      </c>
    </row>
    <row r="1683" s="2" customFormat="1" ht="14.1" customHeight="1" spans="1:6">
      <c r="A1683" s="7" t="str">
        <f>"2102705701"</f>
        <v>2102705701</v>
      </c>
      <c r="B1683" s="7" t="str">
        <f t="shared" si="90"/>
        <v>2021027</v>
      </c>
      <c r="C1683" s="7" t="str">
        <f t="shared" ref="C1683:C1712" si="92">"057"</f>
        <v>057</v>
      </c>
      <c r="D1683" s="7" t="str">
        <f>"01"</f>
        <v>01</v>
      </c>
      <c r="E1683" s="8">
        <v>0</v>
      </c>
      <c r="F1683" s="7" t="s">
        <v>8</v>
      </c>
    </row>
    <row r="1684" s="2" customFormat="1" ht="14.1" customHeight="1" spans="1:6">
      <c r="A1684" s="7" t="str">
        <f>"2102705702"</f>
        <v>2102705702</v>
      </c>
      <c r="B1684" s="7" t="str">
        <f t="shared" si="90"/>
        <v>2021027</v>
      </c>
      <c r="C1684" s="7" t="str">
        <f t="shared" si="92"/>
        <v>057</v>
      </c>
      <c r="D1684" s="7" t="str">
        <f>"02"</f>
        <v>02</v>
      </c>
      <c r="E1684" s="8">
        <v>61.2</v>
      </c>
      <c r="F1684" s="7" t="s">
        <v>7</v>
      </c>
    </row>
    <row r="1685" s="2" customFormat="1" ht="14.1" customHeight="1" spans="1:6">
      <c r="A1685" s="7" t="str">
        <f>"2102705703"</f>
        <v>2102705703</v>
      </c>
      <c r="B1685" s="7" t="str">
        <f t="shared" si="90"/>
        <v>2021027</v>
      </c>
      <c r="C1685" s="7" t="str">
        <f t="shared" si="92"/>
        <v>057</v>
      </c>
      <c r="D1685" s="7" t="str">
        <f>"03"</f>
        <v>03</v>
      </c>
      <c r="E1685" s="8">
        <v>57.6</v>
      </c>
      <c r="F1685" s="7" t="s">
        <v>7</v>
      </c>
    </row>
    <row r="1686" s="2" customFormat="1" ht="14.1" customHeight="1" spans="1:6">
      <c r="A1686" s="7" t="str">
        <f>"2102705704"</f>
        <v>2102705704</v>
      </c>
      <c r="B1686" s="7" t="str">
        <f t="shared" si="90"/>
        <v>2021027</v>
      </c>
      <c r="C1686" s="7" t="str">
        <f t="shared" si="92"/>
        <v>057</v>
      </c>
      <c r="D1686" s="7" t="str">
        <f>"04"</f>
        <v>04</v>
      </c>
      <c r="E1686" s="8">
        <v>0</v>
      </c>
      <c r="F1686" s="7" t="s">
        <v>8</v>
      </c>
    </row>
    <row r="1687" s="2" customFormat="1" ht="14.1" customHeight="1" spans="1:6">
      <c r="A1687" s="7" t="str">
        <f>"2102705705"</f>
        <v>2102705705</v>
      </c>
      <c r="B1687" s="7" t="str">
        <f t="shared" si="90"/>
        <v>2021027</v>
      </c>
      <c r="C1687" s="7" t="str">
        <f t="shared" si="92"/>
        <v>057</v>
      </c>
      <c r="D1687" s="7" t="str">
        <f>"05"</f>
        <v>05</v>
      </c>
      <c r="E1687" s="8">
        <v>0</v>
      </c>
      <c r="F1687" s="7" t="s">
        <v>8</v>
      </c>
    </row>
    <row r="1688" s="2" customFormat="1" ht="14.1" customHeight="1" spans="1:6">
      <c r="A1688" s="7" t="str">
        <f>"2102705706"</f>
        <v>2102705706</v>
      </c>
      <c r="B1688" s="7" t="str">
        <f t="shared" si="90"/>
        <v>2021027</v>
      </c>
      <c r="C1688" s="7" t="str">
        <f t="shared" si="92"/>
        <v>057</v>
      </c>
      <c r="D1688" s="7" t="str">
        <f>"06"</f>
        <v>06</v>
      </c>
      <c r="E1688" s="8">
        <v>0</v>
      </c>
      <c r="F1688" s="7" t="s">
        <v>8</v>
      </c>
    </row>
    <row r="1689" s="2" customFormat="1" ht="14.1" customHeight="1" spans="1:6">
      <c r="A1689" s="7" t="str">
        <f>"2102705707"</f>
        <v>2102705707</v>
      </c>
      <c r="B1689" s="7" t="str">
        <f t="shared" si="90"/>
        <v>2021027</v>
      </c>
      <c r="C1689" s="7" t="str">
        <f t="shared" si="92"/>
        <v>057</v>
      </c>
      <c r="D1689" s="7" t="str">
        <f>"07"</f>
        <v>07</v>
      </c>
      <c r="E1689" s="8">
        <v>51.3</v>
      </c>
      <c r="F1689" s="7" t="s">
        <v>7</v>
      </c>
    </row>
    <row r="1690" s="2" customFormat="1" ht="14.1" customHeight="1" spans="1:6">
      <c r="A1690" s="7" t="str">
        <f>"2102705708"</f>
        <v>2102705708</v>
      </c>
      <c r="B1690" s="7" t="str">
        <f t="shared" si="90"/>
        <v>2021027</v>
      </c>
      <c r="C1690" s="7" t="str">
        <f t="shared" si="92"/>
        <v>057</v>
      </c>
      <c r="D1690" s="7" t="str">
        <f>"08"</f>
        <v>08</v>
      </c>
      <c r="E1690" s="8">
        <v>45.9</v>
      </c>
      <c r="F1690" s="7" t="s">
        <v>7</v>
      </c>
    </row>
    <row r="1691" s="2" customFormat="1" ht="14.1" customHeight="1" spans="1:6">
      <c r="A1691" s="7" t="str">
        <f>"2102705709"</f>
        <v>2102705709</v>
      </c>
      <c r="B1691" s="7" t="str">
        <f t="shared" si="90"/>
        <v>2021027</v>
      </c>
      <c r="C1691" s="7" t="str">
        <f t="shared" si="92"/>
        <v>057</v>
      </c>
      <c r="D1691" s="7" t="str">
        <f>"09"</f>
        <v>09</v>
      </c>
      <c r="E1691" s="8">
        <v>64.8</v>
      </c>
      <c r="F1691" s="7" t="s">
        <v>7</v>
      </c>
    </row>
    <row r="1692" s="2" customFormat="1" ht="14.1" customHeight="1" spans="1:6">
      <c r="A1692" s="7" t="str">
        <f>"2102705710"</f>
        <v>2102705710</v>
      </c>
      <c r="B1692" s="7" t="str">
        <f t="shared" si="90"/>
        <v>2021027</v>
      </c>
      <c r="C1692" s="7" t="str">
        <f t="shared" si="92"/>
        <v>057</v>
      </c>
      <c r="D1692" s="7" t="str">
        <f>"10"</f>
        <v>10</v>
      </c>
      <c r="E1692" s="8">
        <v>45.9</v>
      </c>
      <c r="F1692" s="7" t="s">
        <v>7</v>
      </c>
    </row>
    <row r="1693" s="2" customFormat="1" ht="14.1" customHeight="1" spans="1:6">
      <c r="A1693" s="7" t="str">
        <f>"2102705711"</f>
        <v>2102705711</v>
      </c>
      <c r="B1693" s="7" t="str">
        <f t="shared" si="90"/>
        <v>2021027</v>
      </c>
      <c r="C1693" s="7" t="str">
        <f t="shared" si="92"/>
        <v>057</v>
      </c>
      <c r="D1693" s="7" t="str">
        <f>"11"</f>
        <v>11</v>
      </c>
      <c r="E1693" s="8">
        <v>56.6</v>
      </c>
      <c r="F1693" s="7" t="s">
        <v>7</v>
      </c>
    </row>
    <row r="1694" s="2" customFormat="1" ht="14.1" customHeight="1" spans="1:6">
      <c r="A1694" s="7" t="str">
        <f>"2102705712"</f>
        <v>2102705712</v>
      </c>
      <c r="B1694" s="7" t="str">
        <f t="shared" si="90"/>
        <v>2021027</v>
      </c>
      <c r="C1694" s="7" t="str">
        <f t="shared" si="92"/>
        <v>057</v>
      </c>
      <c r="D1694" s="7" t="str">
        <f>"12"</f>
        <v>12</v>
      </c>
      <c r="E1694" s="8">
        <v>0</v>
      </c>
      <c r="F1694" s="7" t="s">
        <v>8</v>
      </c>
    </row>
    <row r="1695" s="2" customFormat="1" ht="14.1" customHeight="1" spans="1:6">
      <c r="A1695" s="7" t="str">
        <f>"2102705713"</f>
        <v>2102705713</v>
      </c>
      <c r="B1695" s="7" t="str">
        <f t="shared" si="90"/>
        <v>2021027</v>
      </c>
      <c r="C1695" s="7" t="str">
        <f t="shared" si="92"/>
        <v>057</v>
      </c>
      <c r="D1695" s="7" t="str">
        <f>"13"</f>
        <v>13</v>
      </c>
      <c r="E1695" s="8">
        <v>0</v>
      </c>
      <c r="F1695" s="7" t="s">
        <v>8</v>
      </c>
    </row>
    <row r="1696" s="2" customFormat="1" ht="14.1" customHeight="1" spans="1:6">
      <c r="A1696" s="7" t="str">
        <f>"2102705714"</f>
        <v>2102705714</v>
      </c>
      <c r="B1696" s="7" t="str">
        <f t="shared" si="90"/>
        <v>2021027</v>
      </c>
      <c r="C1696" s="7" t="str">
        <f t="shared" si="92"/>
        <v>057</v>
      </c>
      <c r="D1696" s="7" t="str">
        <f>"14"</f>
        <v>14</v>
      </c>
      <c r="E1696" s="8">
        <v>0</v>
      </c>
      <c r="F1696" s="7" t="s">
        <v>8</v>
      </c>
    </row>
    <row r="1697" s="2" customFormat="1" ht="14.1" customHeight="1" spans="1:6">
      <c r="A1697" s="7" t="str">
        <f>"2102705715"</f>
        <v>2102705715</v>
      </c>
      <c r="B1697" s="7" t="str">
        <f t="shared" si="90"/>
        <v>2021027</v>
      </c>
      <c r="C1697" s="7" t="str">
        <f t="shared" si="92"/>
        <v>057</v>
      </c>
      <c r="D1697" s="7" t="str">
        <f>"15"</f>
        <v>15</v>
      </c>
      <c r="E1697" s="8">
        <v>0</v>
      </c>
      <c r="F1697" s="7" t="s">
        <v>8</v>
      </c>
    </row>
    <row r="1698" s="2" customFormat="1" ht="14.1" customHeight="1" spans="1:6">
      <c r="A1698" s="7" t="str">
        <f>"2102705716"</f>
        <v>2102705716</v>
      </c>
      <c r="B1698" s="7" t="str">
        <f t="shared" si="90"/>
        <v>2021027</v>
      </c>
      <c r="C1698" s="7" t="str">
        <f t="shared" si="92"/>
        <v>057</v>
      </c>
      <c r="D1698" s="7" t="str">
        <f>"16"</f>
        <v>16</v>
      </c>
      <c r="E1698" s="8">
        <v>69.5</v>
      </c>
      <c r="F1698" s="7" t="s">
        <v>7</v>
      </c>
    </row>
    <row r="1699" s="2" customFormat="1" ht="14.1" customHeight="1" spans="1:6">
      <c r="A1699" s="7" t="str">
        <f>"2102705717"</f>
        <v>2102705717</v>
      </c>
      <c r="B1699" s="7" t="str">
        <f t="shared" si="90"/>
        <v>2021027</v>
      </c>
      <c r="C1699" s="7" t="str">
        <f t="shared" si="92"/>
        <v>057</v>
      </c>
      <c r="D1699" s="7" t="str">
        <f>"17"</f>
        <v>17</v>
      </c>
      <c r="E1699" s="8">
        <v>0</v>
      </c>
      <c r="F1699" s="7" t="s">
        <v>8</v>
      </c>
    </row>
    <row r="1700" s="2" customFormat="1" ht="14.1" customHeight="1" spans="1:6">
      <c r="A1700" s="7" t="str">
        <f>"2102705718"</f>
        <v>2102705718</v>
      </c>
      <c r="B1700" s="7" t="str">
        <f t="shared" si="90"/>
        <v>2021027</v>
      </c>
      <c r="C1700" s="7" t="str">
        <f t="shared" si="92"/>
        <v>057</v>
      </c>
      <c r="D1700" s="7" t="str">
        <f>"18"</f>
        <v>18</v>
      </c>
      <c r="E1700" s="8">
        <v>0</v>
      </c>
      <c r="F1700" s="7" t="s">
        <v>8</v>
      </c>
    </row>
    <row r="1701" s="2" customFormat="1" ht="14.1" customHeight="1" spans="1:6">
      <c r="A1701" s="7" t="str">
        <f>"2102705719"</f>
        <v>2102705719</v>
      </c>
      <c r="B1701" s="7" t="str">
        <f t="shared" si="90"/>
        <v>2021027</v>
      </c>
      <c r="C1701" s="7" t="str">
        <f t="shared" si="92"/>
        <v>057</v>
      </c>
      <c r="D1701" s="7" t="str">
        <f>"19"</f>
        <v>19</v>
      </c>
      <c r="E1701" s="8">
        <v>0</v>
      </c>
      <c r="F1701" s="7" t="s">
        <v>8</v>
      </c>
    </row>
    <row r="1702" s="2" customFormat="1" ht="14.1" customHeight="1" spans="1:6">
      <c r="A1702" s="7" t="str">
        <f>"2102705720"</f>
        <v>2102705720</v>
      </c>
      <c r="B1702" s="7" t="str">
        <f t="shared" si="90"/>
        <v>2021027</v>
      </c>
      <c r="C1702" s="7" t="str">
        <f t="shared" si="92"/>
        <v>057</v>
      </c>
      <c r="D1702" s="7" t="str">
        <f>"20"</f>
        <v>20</v>
      </c>
      <c r="E1702" s="8">
        <v>0</v>
      </c>
      <c r="F1702" s="7" t="s">
        <v>8</v>
      </c>
    </row>
    <row r="1703" s="2" customFormat="1" ht="14.1" customHeight="1" spans="1:6">
      <c r="A1703" s="7" t="str">
        <f>"2102705721"</f>
        <v>2102705721</v>
      </c>
      <c r="B1703" s="7" t="str">
        <f t="shared" si="90"/>
        <v>2021027</v>
      </c>
      <c r="C1703" s="7" t="str">
        <f t="shared" si="92"/>
        <v>057</v>
      </c>
      <c r="D1703" s="7" t="str">
        <f>"21"</f>
        <v>21</v>
      </c>
      <c r="E1703" s="8">
        <v>0</v>
      </c>
      <c r="F1703" s="7" t="s">
        <v>8</v>
      </c>
    </row>
    <row r="1704" s="2" customFormat="1" ht="14.1" customHeight="1" spans="1:6">
      <c r="A1704" s="7" t="str">
        <f>"2102705722"</f>
        <v>2102705722</v>
      </c>
      <c r="B1704" s="7" t="str">
        <f t="shared" si="90"/>
        <v>2021027</v>
      </c>
      <c r="C1704" s="7" t="str">
        <f t="shared" si="92"/>
        <v>057</v>
      </c>
      <c r="D1704" s="7" t="str">
        <f>"22"</f>
        <v>22</v>
      </c>
      <c r="E1704" s="8">
        <v>0</v>
      </c>
      <c r="F1704" s="7" t="s">
        <v>8</v>
      </c>
    </row>
    <row r="1705" s="2" customFormat="1" ht="14.1" customHeight="1" spans="1:6">
      <c r="A1705" s="7" t="str">
        <f>"2102705723"</f>
        <v>2102705723</v>
      </c>
      <c r="B1705" s="7" t="str">
        <f t="shared" si="90"/>
        <v>2021027</v>
      </c>
      <c r="C1705" s="7" t="str">
        <f t="shared" si="92"/>
        <v>057</v>
      </c>
      <c r="D1705" s="7" t="str">
        <f>"23"</f>
        <v>23</v>
      </c>
      <c r="E1705" s="8">
        <v>0</v>
      </c>
      <c r="F1705" s="7" t="s">
        <v>8</v>
      </c>
    </row>
    <row r="1706" s="2" customFormat="1" ht="14.1" customHeight="1" spans="1:6">
      <c r="A1706" s="7" t="str">
        <f>"2102705724"</f>
        <v>2102705724</v>
      </c>
      <c r="B1706" s="7" t="str">
        <f t="shared" ref="B1706:B1769" si="93">"2021027"</f>
        <v>2021027</v>
      </c>
      <c r="C1706" s="7" t="str">
        <f t="shared" si="92"/>
        <v>057</v>
      </c>
      <c r="D1706" s="7" t="str">
        <f>"24"</f>
        <v>24</v>
      </c>
      <c r="E1706" s="8">
        <v>65.3</v>
      </c>
      <c r="F1706" s="7" t="s">
        <v>7</v>
      </c>
    </row>
    <row r="1707" s="2" customFormat="1" ht="14.1" customHeight="1" spans="1:6">
      <c r="A1707" s="7" t="str">
        <f>"2102705725"</f>
        <v>2102705725</v>
      </c>
      <c r="B1707" s="7" t="str">
        <f t="shared" si="93"/>
        <v>2021027</v>
      </c>
      <c r="C1707" s="7" t="str">
        <f t="shared" si="92"/>
        <v>057</v>
      </c>
      <c r="D1707" s="7" t="str">
        <f>"25"</f>
        <v>25</v>
      </c>
      <c r="E1707" s="8">
        <v>61.3</v>
      </c>
      <c r="F1707" s="7" t="s">
        <v>7</v>
      </c>
    </row>
    <row r="1708" s="2" customFormat="1" ht="14.1" customHeight="1" spans="1:6">
      <c r="A1708" s="7" t="str">
        <f>"2102705726"</f>
        <v>2102705726</v>
      </c>
      <c r="B1708" s="7" t="str">
        <f t="shared" si="93"/>
        <v>2021027</v>
      </c>
      <c r="C1708" s="7" t="str">
        <f t="shared" si="92"/>
        <v>057</v>
      </c>
      <c r="D1708" s="7" t="str">
        <f>"26"</f>
        <v>26</v>
      </c>
      <c r="E1708" s="8">
        <v>0</v>
      </c>
      <c r="F1708" s="7" t="s">
        <v>8</v>
      </c>
    </row>
    <row r="1709" s="2" customFormat="1" ht="14.1" customHeight="1" spans="1:6">
      <c r="A1709" s="7" t="str">
        <f>"2102705727"</f>
        <v>2102705727</v>
      </c>
      <c r="B1709" s="7" t="str">
        <f t="shared" si="93"/>
        <v>2021027</v>
      </c>
      <c r="C1709" s="7" t="str">
        <f t="shared" si="92"/>
        <v>057</v>
      </c>
      <c r="D1709" s="7" t="str">
        <f>"27"</f>
        <v>27</v>
      </c>
      <c r="E1709" s="8">
        <v>61.4</v>
      </c>
      <c r="F1709" s="7" t="s">
        <v>7</v>
      </c>
    </row>
    <row r="1710" s="2" customFormat="1" ht="14.1" customHeight="1" spans="1:6">
      <c r="A1710" s="7" t="str">
        <f>"2102705728"</f>
        <v>2102705728</v>
      </c>
      <c r="B1710" s="7" t="str">
        <f t="shared" si="93"/>
        <v>2021027</v>
      </c>
      <c r="C1710" s="7" t="str">
        <f t="shared" si="92"/>
        <v>057</v>
      </c>
      <c r="D1710" s="7" t="str">
        <f>"28"</f>
        <v>28</v>
      </c>
      <c r="E1710" s="8">
        <v>0</v>
      </c>
      <c r="F1710" s="7" t="s">
        <v>8</v>
      </c>
    </row>
    <row r="1711" s="2" customFormat="1" ht="14.1" customHeight="1" spans="1:6">
      <c r="A1711" s="7" t="str">
        <f>"2102705729"</f>
        <v>2102705729</v>
      </c>
      <c r="B1711" s="7" t="str">
        <f t="shared" si="93"/>
        <v>2021027</v>
      </c>
      <c r="C1711" s="7" t="str">
        <f t="shared" si="92"/>
        <v>057</v>
      </c>
      <c r="D1711" s="7" t="str">
        <f>"29"</f>
        <v>29</v>
      </c>
      <c r="E1711" s="8">
        <v>73.5</v>
      </c>
      <c r="F1711" s="7" t="s">
        <v>7</v>
      </c>
    </row>
    <row r="1712" s="2" customFormat="1" ht="14.1" customHeight="1" spans="1:6">
      <c r="A1712" s="7" t="str">
        <f>"2102705730"</f>
        <v>2102705730</v>
      </c>
      <c r="B1712" s="7" t="str">
        <f t="shared" si="93"/>
        <v>2021027</v>
      </c>
      <c r="C1712" s="7" t="str">
        <f t="shared" si="92"/>
        <v>057</v>
      </c>
      <c r="D1712" s="7" t="str">
        <f>"30"</f>
        <v>30</v>
      </c>
      <c r="E1712" s="8">
        <v>57.7</v>
      </c>
      <c r="F1712" s="7" t="s">
        <v>7</v>
      </c>
    </row>
    <row r="1713" s="2" customFormat="1" ht="14.1" customHeight="1" spans="1:6">
      <c r="A1713" s="7" t="str">
        <f>"2102705801"</f>
        <v>2102705801</v>
      </c>
      <c r="B1713" s="7" t="str">
        <f t="shared" si="93"/>
        <v>2021027</v>
      </c>
      <c r="C1713" s="7" t="str">
        <f t="shared" ref="C1713:C1742" si="94">"058"</f>
        <v>058</v>
      </c>
      <c r="D1713" s="7" t="str">
        <f>"01"</f>
        <v>01</v>
      </c>
      <c r="E1713" s="8">
        <v>73.1</v>
      </c>
      <c r="F1713" s="7" t="s">
        <v>7</v>
      </c>
    </row>
    <row r="1714" s="2" customFormat="1" ht="14.1" customHeight="1" spans="1:6">
      <c r="A1714" s="7" t="str">
        <f>"2102705802"</f>
        <v>2102705802</v>
      </c>
      <c r="B1714" s="7" t="str">
        <f t="shared" si="93"/>
        <v>2021027</v>
      </c>
      <c r="C1714" s="7" t="str">
        <f t="shared" si="94"/>
        <v>058</v>
      </c>
      <c r="D1714" s="7" t="str">
        <f>"02"</f>
        <v>02</v>
      </c>
      <c r="E1714" s="8">
        <v>0</v>
      </c>
      <c r="F1714" s="7" t="s">
        <v>8</v>
      </c>
    </row>
    <row r="1715" s="2" customFormat="1" ht="14.1" customHeight="1" spans="1:6">
      <c r="A1715" s="7" t="str">
        <f>"2102705803"</f>
        <v>2102705803</v>
      </c>
      <c r="B1715" s="7" t="str">
        <f t="shared" si="93"/>
        <v>2021027</v>
      </c>
      <c r="C1715" s="7" t="str">
        <f t="shared" si="94"/>
        <v>058</v>
      </c>
      <c r="D1715" s="7" t="str">
        <f>"03"</f>
        <v>03</v>
      </c>
      <c r="E1715" s="8">
        <v>55.2</v>
      </c>
      <c r="F1715" s="7" t="s">
        <v>7</v>
      </c>
    </row>
    <row r="1716" s="2" customFormat="1" ht="14.1" customHeight="1" spans="1:6">
      <c r="A1716" s="7" t="str">
        <f>"2102705804"</f>
        <v>2102705804</v>
      </c>
      <c r="B1716" s="7" t="str">
        <f t="shared" si="93"/>
        <v>2021027</v>
      </c>
      <c r="C1716" s="7" t="str">
        <f t="shared" si="94"/>
        <v>058</v>
      </c>
      <c r="D1716" s="7" t="str">
        <f>"04"</f>
        <v>04</v>
      </c>
      <c r="E1716" s="8">
        <v>0</v>
      </c>
      <c r="F1716" s="7" t="s">
        <v>8</v>
      </c>
    </row>
    <row r="1717" s="2" customFormat="1" ht="14.1" customHeight="1" spans="1:6">
      <c r="A1717" s="7" t="str">
        <f>"2102705805"</f>
        <v>2102705805</v>
      </c>
      <c r="B1717" s="7" t="str">
        <f t="shared" si="93"/>
        <v>2021027</v>
      </c>
      <c r="C1717" s="7" t="str">
        <f t="shared" si="94"/>
        <v>058</v>
      </c>
      <c r="D1717" s="7" t="str">
        <f>"05"</f>
        <v>05</v>
      </c>
      <c r="E1717" s="8">
        <v>68.9</v>
      </c>
      <c r="F1717" s="7" t="s">
        <v>7</v>
      </c>
    </row>
    <row r="1718" s="2" customFormat="1" ht="14.1" customHeight="1" spans="1:6">
      <c r="A1718" s="7" t="str">
        <f>"2102705806"</f>
        <v>2102705806</v>
      </c>
      <c r="B1718" s="7" t="str">
        <f t="shared" si="93"/>
        <v>2021027</v>
      </c>
      <c r="C1718" s="7" t="str">
        <f t="shared" si="94"/>
        <v>058</v>
      </c>
      <c r="D1718" s="7" t="str">
        <f>"06"</f>
        <v>06</v>
      </c>
      <c r="E1718" s="8">
        <v>61.1</v>
      </c>
      <c r="F1718" s="7" t="s">
        <v>7</v>
      </c>
    </row>
    <row r="1719" s="2" customFormat="1" ht="14.1" customHeight="1" spans="1:6">
      <c r="A1719" s="7" t="str">
        <f>"2102705807"</f>
        <v>2102705807</v>
      </c>
      <c r="B1719" s="7" t="str">
        <f t="shared" si="93"/>
        <v>2021027</v>
      </c>
      <c r="C1719" s="7" t="str">
        <f t="shared" si="94"/>
        <v>058</v>
      </c>
      <c r="D1719" s="7" t="str">
        <f>"07"</f>
        <v>07</v>
      </c>
      <c r="E1719" s="8">
        <v>64.2</v>
      </c>
      <c r="F1719" s="7" t="s">
        <v>7</v>
      </c>
    </row>
    <row r="1720" s="2" customFormat="1" ht="14.1" customHeight="1" spans="1:6">
      <c r="A1720" s="7" t="str">
        <f>"2102705808"</f>
        <v>2102705808</v>
      </c>
      <c r="B1720" s="7" t="str">
        <f t="shared" si="93"/>
        <v>2021027</v>
      </c>
      <c r="C1720" s="7" t="str">
        <f t="shared" si="94"/>
        <v>058</v>
      </c>
      <c r="D1720" s="7" t="str">
        <f>"08"</f>
        <v>08</v>
      </c>
      <c r="E1720" s="8">
        <v>55.7</v>
      </c>
      <c r="F1720" s="7" t="s">
        <v>7</v>
      </c>
    </row>
    <row r="1721" s="2" customFormat="1" ht="14.1" customHeight="1" spans="1:6">
      <c r="A1721" s="7" t="str">
        <f>"2102705809"</f>
        <v>2102705809</v>
      </c>
      <c r="B1721" s="7" t="str">
        <f t="shared" si="93"/>
        <v>2021027</v>
      </c>
      <c r="C1721" s="7" t="str">
        <f t="shared" si="94"/>
        <v>058</v>
      </c>
      <c r="D1721" s="7" t="str">
        <f>"09"</f>
        <v>09</v>
      </c>
      <c r="E1721" s="8">
        <v>53.7</v>
      </c>
      <c r="F1721" s="7" t="s">
        <v>7</v>
      </c>
    </row>
    <row r="1722" s="2" customFormat="1" ht="14.1" customHeight="1" spans="1:6">
      <c r="A1722" s="7" t="str">
        <f>"2102705810"</f>
        <v>2102705810</v>
      </c>
      <c r="B1722" s="7" t="str">
        <f t="shared" si="93"/>
        <v>2021027</v>
      </c>
      <c r="C1722" s="7" t="str">
        <f t="shared" si="94"/>
        <v>058</v>
      </c>
      <c r="D1722" s="7" t="str">
        <f>"10"</f>
        <v>10</v>
      </c>
      <c r="E1722" s="8">
        <v>0</v>
      </c>
      <c r="F1722" s="7" t="s">
        <v>8</v>
      </c>
    </row>
    <row r="1723" s="2" customFormat="1" ht="14.1" customHeight="1" spans="1:6">
      <c r="A1723" s="7" t="str">
        <f>"2102705811"</f>
        <v>2102705811</v>
      </c>
      <c r="B1723" s="7" t="str">
        <f t="shared" si="93"/>
        <v>2021027</v>
      </c>
      <c r="C1723" s="7" t="str">
        <f t="shared" si="94"/>
        <v>058</v>
      </c>
      <c r="D1723" s="7" t="str">
        <f>"11"</f>
        <v>11</v>
      </c>
      <c r="E1723" s="8">
        <v>0</v>
      </c>
      <c r="F1723" s="7" t="s">
        <v>8</v>
      </c>
    </row>
    <row r="1724" s="2" customFormat="1" ht="14.1" customHeight="1" spans="1:6">
      <c r="A1724" s="7" t="str">
        <f>"2102705812"</f>
        <v>2102705812</v>
      </c>
      <c r="B1724" s="7" t="str">
        <f t="shared" si="93"/>
        <v>2021027</v>
      </c>
      <c r="C1724" s="7" t="str">
        <f t="shared" si="94"/>
        <v>058</v>
      </c>
      <c r="D1724" s="7" t="str">
        <f>"12"</f>
        <v>12</v>
      </c>
      <c r="E1724" s="8">
        <v>0</v>
      </c>
      <c r="F1724" s="7" t="s">
        <v>8</v>
      </c>
    </row>
    <row r="1725" s="2" customFormat="1" ht="14.1" customHeight="1" spans="1:6">
      <c r="A1725" s="7" t="str">
        <f>"2102705813"</f>
        <v>2102705813</v>
      </c>
      <c r="B1725" s="7" t="str">
        <f t="shared" si="93"/>
        <v>2021027</v>
      </c>
      <c r="C1725" s="7" t="str">
        <f t="shared" si="94"/>
        <v>058</v>
      </c>
      <c r="D1725" s="7" t="str">
        <f>"13"</f>
        <v>13</v>
      </c>
      <c r="E1725" s="8">
        <v>49.3</v>
      </c>
      <c r="F1725" s="7" t="s">
        <v>7</v>
      </c>
    </row>
    <row r="1726" s="2" customFormat="1" ht="14.1" customHeight="1" spans="1:6">
      <c r="A1726" s="7" t="str">
        <f>"2102705814"</f>
        <v>2102705814</v>
      </c>
      <c r="B1726" s="7" t="str">
        <f t="shared" si="93"/>
        <v>2021027</v>
      </c>
      <c r="C1726" s="7" t="str">
        <f t="shared" si="94"/>
        <v>058</v>
      </c>
      <c r="D1726" s="7" t="str">
        <f>"14"</f>
        <v>14</v>
      </c>
      <c r="E1726" s="8">
        <v>0</v>
      </c>
      <c r="F1726" s="7" t="s">
        <v>8</v>
      </c>
    </row>
    <row r="1727" s="2" customFormat="1" ht="14.1" customHeight="1" spans="1:6">
      <c r="A1727" s="7" t="str">
        <f>"2102705815"</f>
        <v>2102705815</v>
      </c>
      <c r="B1727" s="7" t="str">
        <f t="shared" si="93"/>
        <v>2021027</v>
      </c>
      <c r="C1727" s="7" t="str">
        <f t="shared" si="94"/>
        <v>058</v>
      </c>
      <c r="D1727" s="7" t="str">
        <f>"15"</f>
        <v>15</v>
      </c>
      <c r="E1727" s="8">
        <v>60.1</v>
      </c>
      <c r="F1727" s="7" t="s">
        <v>7</v>
      </c>
    </row>
    <row r="1728" s="2" customFormat="1" ht="14.1" customHeight="1" spans="1:6">
      <c r="A1728" s="7" t="str">
        <f>"2102705816"</f>
        <v>2102705816</v>
      </c>
      <c r="B1728" s="7" t="str">
        <f t="shared" si="93"/>
        <v>2021027</v>
      </c>
      <c r="C1728" s="7" t="str">
        <f t="shared" si="94"/>
        <v>058</v>
      </c>
      <c r="D1728" s="7" t="str">
        <f>"16"</f>
        <v>16</v>
      </c>
      <c r="E1728" s="8">
        <v>71.3</v>
      </c>
      <c r="F1728" s="7" t="s">
        <v>7</v>
      </c>
    </row>
    <row r="1729" s="2" customFormat="1" ht="14.1" customHeight="1" spans="1:6">
      <c r="A1729" s="7" t="str">
        <f>"2102705817"</f>
        <v>2102705817</v>
      </c>
      <c r="B1729" s="7" t="str">
        <f t="shared" si="93"/>
        <v>2021027</v>
      </c>
      <c r="C1729" s="7" t="str">
        <f t="shared" si="94"/>
        <v>058</v>
      </c>
      <c r="D1729" s="7" t="str">
        <f>"17"</f>
        <v>17</v>
      </c>
      <c r="E1729" s="8">
        <v>62.7</v>
      </c>
      <c r="F1729" s="7" t="s">
        <v>7</v>
      </c>
    </row>
    <row r="1730" s="2" customFormat="1" ht="14.1" customHeight="1" spans="1:6">
      <c r="A1730" s="7" t="str">
        <f>"2102705818"</f>
        <v>2102705818</v>
      </c>
      <c r="B1730" s="7" t="str">
        <f t="shared" si="93"/>
        <v>2021027</v>
      </c>
      <c r="C1730" s="7" t="str">
        <f t="shared" si="94"/>
        <v>058</v>
      </c>
      <c r="D1730" s="7" t="str">
        <f>"18"</f>
        <v>18</v>
      </c>
      <c r="E1730" s="8">
        <v>0</v>
      </c>
      <c r="F1730" s="7" t="s">
        <v>8</v>
      </c>
    </row>
    <row r="1731" s="2" customFormat="1" ht="14.1" customHeight="1" spans="1:6">
      <c r="A1731" s="7" t="str">
        <f>"2102705819"</f>
        <v>2102705819</v>
      </c>
      <c r="B1731" s="7" t="str">
        <f t="shared" si="93"/>
        <v>2021027</v>
      </c>
      <c r="C1731" s="7" t="str">
        <f t="shared" si="94"/>
        <v>058</v>
      </c>
      <c r="D1731" s="7" t="str">
        <f>"19"</f>
        <v>19</v>
      </c>
      <c r="E1731" s="8">
        <v>0</v>
      </c>
      <c r="F1731" s="7" t="s">
        <v>8</v>
      </c>
    </row>
    <row r="1732" s="2" customFormat="1" ht="14.1" customHeight="1" spans="1:6">
      <c r="A1732" s="7" t="str">
        <f>"2102705820"</f>
        <v>2102705820</v>
      </c>
      <c r="B1732" s="7" t="str">
        <f t="shared" si="93"/>
        <v>2021027</v>
      </c>
      <c r="C1732" s="7" t="str">
        <f t="shared" si="94"/>
        <v>058</v>
      </c>
      <c r="D1732" s="7" t="str">
        <f>"20"</f>
        <v>20</v>
      </c>
      <c r="E1732" s="8">
        <v>0</v>
      </c>
      <c r="F1732" s="7" t="s">
        <v>8</v>
      </c>
    </row>
    <row r="1733" s="2" customFormat="1" ht="14.1" customHeight="1" spans="1:6">
      <c r="A1733" s="7" t="str">
        <f>"2102705821"</f>
        <v>2102705821</v>
      </c>
      <c r="B1733" s="7" t="str">
        <f t="shared" si="93"/>
        <v>2021027</v>
      </c>
      <c r="C1733" s="7" t="str">
        <f t="shared" si="94"/>
        <v>058</v>
      </c>
      <c r="D1733" s="7" t="str">
        <f>"21"</f>
        <v>21</v>
      </c>
      <c r="E1733" s="8">
        <v>64.8</v>
      </c>
      <c r="F1733" s="7" t="s">
        <v>7</v>
      </c>
    </row>
    <row r="1734" s="2" customFormat="1" ht="14.1" customHeight="1" spans="1:6">
      <c r="A1734" s="7" t="str">
        <f>"2102705822"</f>
        <v>2102705822</v>
      </c>
      <c r="B1734" s="7" t="str">
        <f t="shared" si="93"/>
        <v>2021027</v>
      </c>
      <c r="C1734" s="7" t="str">
        <f t="shared" si="94"/>
        <v>058</v>
      </c>
      <c r="D1734" s="7" t="str">
        <f>"22"</f>
        <v>22</v>
      </c>
      <c r="E1734" s="8">
        <v>0</v>
      </c>
      <c r="F1734" s="7" t="s">
        <v>8</v>
      </c>
    </row>
    <row r="1735" s="2" customFormat="1" ht="14.1" customHeight="1" spans="1:6">
      <c r="A1735" s="7" t="str">
        <f>"2102705823"</f>
        <v>2102705823</v>
      </c>
      <c r="B1735" s="7" t="str">
        <f t="shared" si="93"/>
        <v>2021027</v>
      </c>
      <c r="C1735" s="7" t="str">
        <f t="shared" si="94"/>
        <v>058</v>
      </c>
      <c r="D1735" s="7" t="str">
        <f>"23"</f>
        <v>23</v>
      </c>
      <c r="E1735" s="8">
        <v>0</v>
      </c>
      <c r="F1735" s="7" t="s">
        <v>8</v>
      </c>
    </row>
    <row r="1736" s="2" customFormat="1" ht="14.1" customHeight="1" spans="1:6">
      <c r="A1736" s="7" t="str">
        <f>"2102705824"</f>
        <v>2102705824</v>
      </c>
      <c r="B1736" s="7" t="str">
        <f t="shared" si="93"/>
        <v>2021027</v>
      </c>
      <c r="C1736" s="7" t="str">
        <f t="shared" si="94"/>
        <v>058</v>
      </c>
      <c r="D1736" s="7" t="str">
        <f>"24"</f>
        <v>24</v>
      </c>
      <c r="E1736" s="8">
        <v>0</v>
      </c>
      <c r="F1736" s="7" t="s">
        <v>8</v>
      </c>
    </row>
    <row r="1737" s="2" customFormat="1" ht="14.1" customHeight="1" spans="1:6">
      <c r="A1737" s="7" t="str">
        <f>"2102705825"</f>
        <v>2102705825</v>
      </c>
      <c r="B1737" s="7" t="str">
        <f t="shared" si="93"/>
        <v>2021027</v>
      </c>
      <c r="C1737" s="7" t="str">
        <f t="shared" si="94"/>
        <v>058</v>
      </c>
      <c r="D1737" s="7" t="str">
        <f>"25"</f>
        <v>25</v>
      </c>
      <c r="E1737" s="8">
        <v>0</v>
      </c>
      <c r="F1737" s="7" t="s">
        <v>8</v>
      </c>
    </row>
    <row r="1738" s="2" customFormat="1" ht="14.1" customHeight="1" spans="1:6">
      <c r="A1738" s="7" t="str">
        <f>"2102705826"</f>
        <v>2102705826</v>
      </c>
      <c r="B1738" s="7" t="str">
        <f t="shared" si="93"/>
        <v>2021027</v>
      </c>
      <c r="C1738" s="7" t="str">
        <f t="shared" si="94"/>
        <v>058</v>
      </c>
      <c r="D1738" s="7" t="str">
        <f>"26"</f>
        <v>26</v>
      </c>
      <c r="E1738" s="8">
        <v>51</v>
      </c>
      <c r="F1738" s="7" t="s">
        <v>7</v>
      </c>
    </row>
    <row r="1739" s="2" customFormat="1" ht="14.1" customHeight="1" spans="1:6">
      <c r="A1739" s="7" t="str">
        <f>"2102705827"</f>
        <v>2102705827</v>
      </c>
      <c r="B1739" s="7" t="str">
        <f t="shared" si="93"/>
        <v>2021027</v>
      </c>
      <c r="C1739" s="7" t="str">
        <f t="shared" si="94"/>
        <v>058</v>
      </c>
      <c r="D1739" s="7" t="str">
        <f>"27"</f>
        <v>27</v>
      </c>
      <c r="E1739" s="8">
        <v>68.7</v>
      </c>
      <c r="F1739" s="7" t="s">
        <v>7</v>
      </c>
    </row>
    <row r="1740" s="2" customFormat="1" ht="14.1" customHeight="1" spans="1:6">
      <c r="A1740" s="7" t="str">
        <f>"2102705828"</f>
        <v>2102705828</v>
      </c>
      <c r="B1740" s="7" t="str">
        <f t="shared" si="93"/>
        <v>2021027</v>
      </c>
      <c r="C1740" s="7" t="str">
        <f t="shared" si="94"/>
        <v>058</v>
      </c>
      <c r="D1740" s="7" t="str">
        <f>"28"</f>
        <v>28</v>
      </c>
      <c r="E1740" s="8">
        <v>0</v>
      </c>
      <c r="F1740" s="7" t="s">
        <v>8</v>
      </c>
    </row>
    <row r="1741" s="2" customFormat="1" ht="14.1" customHeight="1" spans="1:6">
      <c r="A1741" s="7" t="str">
        <f>"2102705829"</f>
        <v>2102705829</v>
      </c>
      <c r="B1741" s="7" t="str">
        <f t="shared" si="93"/>
        <v>2021027</v>
      </c>
      <c r="C1741" s="7" t="str">
        <f t="shared" si="94"/>
        <v>058</v>
      </c>
      <c r="D1741" s="7" t="str">
        <f>"29"</f>
        <v>29</v>
      </c>
      <c r="E1741" s="8">
        <v>57.1</v>
      </c>
      <c r="F1741" s="7" t="s">
        <v>7</v>
      </c>
    </row>
    <row r="1742" s="2" customFormat="1" ht="14.1" customHeight="1" spans="1:6">
      <c r="A1742" s="7" t="str">
        <f>"2102705830"</f>
        <v>2102705830</v>
      </c>
      <c r="B1742" s="7" t="str">
        <f t="shared" si="93"/>
        <v>2021027</v>
      </c>
      <c r="C1742" s="7" t="str">
        <f t="shared" si="94"/>
        <v>058</v>
      </c>
      <c r="D1742" s="7" t="str">
        <f>"30"</f>
        <v>30</v>
      </c>
      <c r="E1742" s="8">
        <v>0</v>
      </c>
      <c r="F1742" s="7" t="s">
        <v>8</v>
      </c>
    </row>
    <row r="1743" s="2" customFormat="1" ht="14.1" customHeight="1" spans="1:6">
      <c r="A1743" s="7" t="str">
        <f>"2102705901"</f>
        <v>2102705901</v>
      </c>
      <c r="B1743" s="7" t="str">
        <f t="shared" si="93"/>
        <v>2021027</v>
      </c>
      <c r="C1743" s="7" t="str">
        <f t="shared" ref="C1743:C1772" si="95">"059"</f>
        <v>059</v>
      </c>
      <c r="D1743" s="7" t="str">
        <f>"01"</f>
        <v>01</v>
      </c>
      <c r="E1743" s="8">
        <v>0</v>
      </c>
      <c r="F1743" s="7" t="s">
        <v>8</v>
      </c>
    </row>
    <row r="1744" s="2" customFormat="1" ht="14.1" customHeight="1" spans="1:6">
      <c r="A1744" s="7" t="str">
        <f>"2102705902"</f>
        <v>2102705902</v>
      </c>
      <c r="B1744" s="7" t="str">
        <f t="shared" si="93"/>
        <v>2021027</v>
      </c>
      <c r="C1744" s="7" t="str">
        <f t="shared" si="95"/>
        <v>059</v>
      </c>
      <c r="D1744" s="7" t="str">
        <f>"02"</f>
        <v>02</v>
      </c>
      <c r="E1744" s="8">
        <v>0</v>
      </c>
      <c r="F1744" s="7" t="s">
        <v>8</v>
      </c>
    </row>
    <row r="1745" s="2" customFormat="1" ht="14.1" customHeight="1" spans="1:6">
      <c r="A1745" s="7" t="str">
        <f>"2102705903"</f>
        <v>2102705903</v>
      </c>
      <c r="B1745" s="7" t="str">
        <f t="shared" si="93"/>
        <v>2021027</v>
      </c>
      <c r="C1745" s="7" t="str">
        <f t="shared" si="95"/>
        <v>059</v>
      </c>
      <c r="D1745" s="7" t="str">
        <f>"03"</f>
        <v>03</v>
      </c>
      <c r="E1745" s="8">
        <v>0</v>
      </c>
      <c r="F1745" s="7" t="s">
        <v>8</v>
      </c>
    </row>
    <row r="1746" s="2" customFormat="1" ht="14.1" customHeight="1" spans="1:6">
      <c r="A1746" s="7" t="str">
        <f>"2102705904"</f>
        <v>2102705904</v>
      </c>
      <c r="B1746" s="7" t="str">
        <f t="shared" si="93"/>
        <v>2021027</v>
      </c>
      <c r="C1746" s="7" t="str">
        <f t="shared" si="95"/>
        <v>059</v>
      </c>
      <c r="D1746" s="7" t="str">
        <f>"04"</f>
        <v>04</v>
      </c>
      <c r="E1746" s="8">
        <v>60.1</v>
      </c>
      <c r="F1746" s="7" t="s">
        <v>7</v>
      </c>
    </row>
    <row r="1747" s="2" customFormat="1" ht="14.1" customHeight="1" spans="1:6">
      <c r="A1747" s="7" t="str">
        <f>"2102705905"</f>
        <v>2102705905</v>
      </c>
      <c r="B1747" s="7" t="str">
        <f t="shared" si="93"/>
        <v>2021027</v>
      </c>
      <c r="C1747" s="7" t="str">
        <f t="shared" si="95"/>
        <v>059</v>
      </c>
      <c r="D1747" s="7" t="str">
        <f>"05"</f>
        <v>05</v>
      </c>
      <c r="E1747" s="8">
        <v>67</v>
      </c>
      <c r="F1747" s="7" t="s">
        <v>7</v>
      </c>
    </row>
    <row r="1748" s="2" customFormat="1" ht="14.1" customHeight="1" spans="1:6">
      <c r="A1748" s="7" t="str">
        <f>"2102705906"</f>
        <v>2102705906</v>
      </c>
      <c r="B1748" s="7" t="str">
        <f t="shared" si="93"/>
        <v>2021027</v>
      </c>
      <c r="C1748" s="7" t="str">
        <f t="shared" si="95"/>
        <v>059</v>
      </c>
      <c r="D1748" s="7" t="str">
        <f>"06"</f>
        <v>06</v>
      </c>
      <c r="E1748" s="8">
        <v>59.4</v>
      </c>
      <c r="F1748" s="7" t="s">
        <v>7</v>
      </c>
    </row>
    <row r="1749" s="2" customFormat="1" ht="14.1" customHeight="1" spans="1:6">
      <c r="A1749" s="7" t="str">
        <f>"2102705907"</f>
        <v>2102705907</v>
      </c>
      <c r="B1749" s="7" t="str">
        <f t="shared" si="93"/>
        <v>2021027</v>
      </c>
      <c r="C1749" s="7" t="str">
        <f t="shared" si="95"/>
        <v>059</v>
      </c>
      <c r="D1749" s="7" t="str">
        <f>"07"</f>
        <v>07</v>
      </c>
      <c r="E1749" s="8">
        <v>0</v>
      </c>
      <c r="F1749" s="7" t="s">
        <v>8</v>
      </c>
    </row>
    <row r="1750" s="2" customFormat="1" ht="14.1" customHeight="1" spans="1:6">
      <c r="A1750" s="7" t="str">
        <f>"2102705908"</f>
        <v>2102705908</v>
      </c>
      <c r="B1750" s="7" t="str">
        <f t="shared" si="93"/>
        <v>2021027</v>
      </c>
      <c r="C1750" s="7" t="str">
        <f t="shared" si="95"/>
        <v>059</v>
      </c>
      <c r="D1750" s="7" t="str">
        <f>"08"</f>
        <v>08</v>
      </c>
      <c r="E1750" s="8">
        <v>0</v>
      </c>
      <c r="F1750" s="7" t="s">
        <v>8</v>
      </c>
    </row>
    <row r="1751" s="2" customFormat="1" ht="14.1" customHeight="1" spans="1:6">
      <c r="A1751" s="7" t="str">
        <f>"2102705909"</f>
        <v>2102705909</v>
      </c>
      <c r="B1751" s="7" t="str">
        <f t="shared" si="93"/>
        <v>2021027</v>
      </c>
      <c r="C1751" s="7" t="str">
        <f t="shared" si="95"/>
        <v>059</v>
      </c>
      <c r="D1751" s="7" t="str">
        <f>"09"</f>
        <v>09</v>
      </c>
      <c r="E1751" s="8">
        <v>59.1</v>
      </c>
      <c r="F1751" s="7" t="s">
        <v>7</v>
      </c>
    </row>
    <row r="1752" s="2" customFormat="1" ht="14.1" customHeight="1" spans="1:6">
      <c r="A1752" s="7" t="str">
        <f>"2102705910"</f>
        <v>2102705910</v>
      </c>
      <c r="B1752" s="7" t="str">
        <f t="shared" si="93"/>
        <v>2021027</v>
      </c>
      <c r="C1752" s="7" t="str">
        <f t="shared" si="95"/>
        <v>059</v>
      </c>
      <c r="D1752" s="7" t="str">
        <f>"10"</f>
        <v>10</v>
      </c>
      <c r="E1752" s="8">
        <v>20.9</v>
      </c>
      <c r="F1752" s="7" t="s">
        <v>7</v>
      </c>
    </row>
    <row r="1753" s="2" customFormat="1" ht="14.1" customHeight="1" spans="1:6">
      <c r="A1753" s="7" t="str">
        <f>"2102705911"</f>
        <v>2102705911</v>
      </c>
      <c r="B1753" s="7" t="str">
        <f t="shared" si="93"/>
        <v>2021027</v>
      </c>
      <c r="C1753" s="7" t="str">
        <f t="shared" si="95"/>
        <v>059</v>
      </c>
      <c r="D1753" s="7" t="str">
        <f>"11"</f>
        <v>11</v>
      </c>
      <c r="E1753" s="8">
        <v>62.7</v>
      </c>
      <c r="F1753" s="7" t="s">
        <v>7</v>
      </c>
    </row>
    <row r="1754" s="2" customFormat="1" ht="14.1" customHeight="1" spans="1:6">
      <c r="A1754" s="7" t="str">
        <f>"2102705912"</f>
        <v>2102705912</v>
      </c>
      <c r="B1754" s="7" t="str">
        <f t="shared" si="93"/>
        <v>2021027</v>
      </c>
      <c r="C1754" s="7" t="str">
        <f t="shared" si="95"/>
        <v>059</v>
      </c>
      <c r="D1754" s="7" t="str">
        <f>"12"</f>
        <v>12</v>
      </c>
      <c r="E1754" s="8">
        <v>57.4</v>
      </c>
      <c r="F1754" s="7" t="s">
        <v>7</v>
      </c>
    </row>
    <row r="1755" s="2" customFormat="1" ht="14.1" customHeight="1" spans="1:6">
      <c r="A1755" s="7" t="str">
        <f>"2102705913"</f>
        <v>2102705913</v>
      </c>
      <c r="B1755" s="7" t="str">
        <f t="shared" si="93"/>
        <v>2021027</v>
      </c>
      <c r="C1755" s="7" t="str">
        <f t="shared" si="95"/>
        <v>059</v>
      </c>
      <c r="D1755" s="7" t="str">
        <f>"13"</f>
        <v>13</v>
      </c>
      <c r="E1755" s="8">
        <v>49.4</v>
      </c>
      <c r="F1755" s="7" t="s">
        <v>7</v>
      </c>
    </row>
    <row r="1756" s="2" customFormat="1" ht="14.1" customHeight="1" spans="1:6">
      <c r="A1756" s="7" t="str">
        <f>"2102705914"</f>
        <v>2102705914</v>
      </c>
      <c r="B1756" s="7" t="str">
        <f t="shared" si="93"/>
        <v>2021027</v>
      </c>
      <c r="C1756" s="7" t="str">
        <f t="shared" si="95"/>
        <v>059</v>
      </c>
      <c r="D1756" s="7" t="str">
        <f>"14"</f>
        <v>14</v>
      </c>
      <c r="E1756" s="8">
        <v>65.8</v>
      </c>
      <c r="F1756" s="7" t="s">
        <v>7</v>
      </c>
    </row>
    <row r="1757" s="2" customFormat="1" ht="14.1" customHeight="1" spans="1:6">
      <c r="A1757" s="7" t="str">
        <f>"2102705915"</f>
        <v>2102705915</v>
      </c>
      <c r="B1757" s="7" t="str">
        <f t="shared" si="93"/>
        <v>2021027</v>
      </c>
      <c r="C1757" s="7" t="str">
        <f t="shared" si="95"/>
        <v>059</v>
      </c>
      <c r="D1757" s="7" t="str">
        <f>"15"</f>
        <v>15</v>
      </c>
      <c r="E1757" s="8">
        <v>0</v>
      </c>
      <c r="F1757" s="7" t="s">
        <v>8</v>
      </c>
    </row>
    <row r="1758" s="2" customFormat="1" ht="14.1" customHeight="1" spans="1:6">
      <c r="A1758" s="7" t="str">
        <f>"2102705916"</f>
        <v>2102705916</v>
      </c>
      <c r="B1758" s="7" t="str">
        <f t="shared" si="93"/>
        <v>2021027</v>
      </c>
      <c r="C1758" s="7" t="str">
        <f t="shared" si="95"/>
        <v>059</v>
      </c>
      <c r="D1758" s="7" t="str">
        <f>"16"</f>
        <v>16</v>
      </c>
      <c r="E1758" s="8">
        <v>59.6</v>
      </c>
      <c r="F1758" s="7" t="s">
        <v>7</v>
      </c>
    </row>
    <row r="1759" s="2" customFormat="1" ht="14.1" customHeight="1" spans="1:6">
      <c r="A1759" s="7" t="str">
        <f>"2102705917"</f>
        <v>2102705917</v>
      </c>
      <c r="B1759" s="7" t="str">
        <f t="shared" si="93"/>
        <v>2021027</v>
      </c>
      <c r="C1759" s="7" t="str">
        <f t="shared" si="95"/>
        <v>059</v>
      </c>
      <c r="D1759" s="7" t="str">
        <f>"17"</f>
        <v>17</v>
      </c>
      <c r="E1759" s="8">
        <v>0</v>
      </c>
      <c r="F1759" s="7" t="s">
        <v>8</v>
      </c>
    </row>
    <row r="1760" s="2" customFormat="1" ht="14.1" customHeight="1" spans="1:6">
      <c r="A1760" s="7" t="str">
        <f>"2102705918"</f>
        <v>2102705918</v>
      </c>
      <c r="B1760" s="7" t="str">
        <f t="shared" si="93"/>
        <v>2021027</v>
      </c>
      <c r="C1760" s="7" t="str">
        <f t="shared" si="95"/>
        <v>059</v>
      </c>
      <c r="D1760" s="7" t="str">
        <f>"18"</f>
        <v>18</v>
      </c>
      <c r="E1760" s="8">
        <v>68.8</v>
      </c>
      <c r="F1760" s="7" t="s">
        <v>7</v>
      </c>
    </row>
    <row r="1761" s="2" customFormat="1" ht="14.1" customHeight="1" spans="1:6">
      <c r="A1761" s="7" t="str">
        <f>"2102705919"</f>
        <v>2102705919</v>
      </c>
      <c r="B1761" s="7" t="str">
        <f t="shared" si="93"/>
        <v>2021027</v>
      </c>
      <c r="C1761" s="7" t="str">
        <f t="shared" si="95"/>
        <v>059</v>
      </c>
      <c r="D1761" s="7" t="str">
        <f>"19"</f>
        <v>19</v>
      </c>
      <c r="E1761" s="8">
        <v>31.8</v>
      </c>
      <c r="F1761" s="7" t="s">
        <v>7</v>
      </c>
    </row>
    <row r="1762" s="2" customFormat="1" ht="14.1" customHeight="1" spans="1:6">
      <c r="A1762" s="7" t="str">
        <f>"2102705920"</f>
        <v>2102705920</v>
      </c>
      <c r="B1762" s="7" t="str">
        <f t="shared" si="93"/>
        <v>2021027</v>
      </c>
      <c r="C1762" s="7" t="str">
        <f t="shared" si="95"/>
        <v>059</v>
      </c>
      <c r="D1762" s="7" t="str">
        <f>"20"</f>
        <v>20</v>
      </c>
      <c r="E1762" s="8">
        <v>0</v>
      </c>
      <c r="F1762" s="7" t="s">
        <v>8</v>
      </c>
    </row>
    <row r="1763" s="2" customFormat="1" ht="14.1" customHeight="1" spans="1:6">
      <c r="A1763" s="7" t="str">
        <f>"2102705921"</f>
        <v>2102705921</v>
      </c>
      <c r="B1763" s="7" t="str">
        <f t="shared" si="93"/>
        <v>2021027</v>
      </c>
      <c r="C1763" s="7" t="str">
        <f t="shared" si="95"/>
        <v>059</v>
      </c>
      <c r="D1763" s="7" t="str">
        <f>"21"</f>
        <v>21</v>
      </c>
      <c r="E1763" s="8">
        <v>0</v>
      </c>
      <c r="F1763" s="7" t="s">
        <v>8</v>
      </c>
    </row>
    <row r="1764" s="2" customFormat="1" ht="14.1" customHeight="1" spans="1:6">
      <c r="A1764" s="7" t="str">
        <f>"2102705922"</f>
        <v>2102705922</v>
      </c>
      <c r="B1764" s="7" t="str">
        <f t="shared" si="93"/>
        <v>2021027</v>
      </c>
      <c r="C1764" s="7" t="str">
        <f t="shared" si="95"/>
        <v>059</v>
      </c>
      <c r="D1764" s="7" t="str">
        <f>"22"</f>
        <v>22</v>
      </c>
      <c r="E1764" s="8">
        <v>69.4</v>
      </c>
      <c r="F1764" s="7" t="s">
        <v>7</v>
      </c>
    </row>
    <row r="1765" s="2" customFormat="1" ht="14.1" customHeight="1" spans="1:6">
      <c r="A1765" s="7" t="str">
        <f>"2102705923"</f>
        <v>2102705923</v>
      </c>
      <c r="B1765" s="7" t="str">
        <f t="shared" si="93"/>
        <v>2021027</v>
      </c>
      <c r="C1765" s="7" t="str">
        <f t="shared" si="95"/>
        <v>059</v>
      </c>
      <c r="D1765" s="7" t="str">
        <f>"23"</f>
        <v>23</v>
      </c>
      <c r="E1765" s="8">
        <v>55.7</v>
      </c>
      <c r="F1765" s="7" t="s">
        <v>7</v>
      </c>
    </row>
    <row r="1766" s="2" customFormat="1" ht="14.1" customHeight="1" spans="1:6">
      <c r="A1766" s="7" t="str">
        <f>"2102705924"</f>
        <v>2102705924</v>
      </c>
      <c r="B1766" s="7" t="str">
        <f t="shared" si="93"/>
        <v>2021027</v>
      </c>
      <c r="C1766" s="7" t="str">
        <f t="shared" si="95"/>
        <v>059</v>
      </c>
      <c r="D1766" s="7" t="str">
        <f>"24"</f>
        <v>24</v>
      </c>
      <c r="E1766" s="8">
        <v>68.3</v>
      </c>
      <c r="F1766" s="7" t="s">
        <v>7</v>
      </c>
    </row>
    <row r="1767" s="2" customFormat="1" ht="14.1" customHeight="1" spans="1:6">
      <c r="A1767" s="7" t="str">
        <f>"2102705925"</f>
        <v>2102705925</v>
      </c>
      <c r="B1767" s="7" t="str">
        <f t="shared" si="93"/>
        <v>2021027</v>
      </c>
      <c r="C1767" s="7" t="str">
        <f t="shared" si="95"/>
        <v>059</v>
      </c>
      <c r="D1767" s="7" t="str">
        <f>"25"</f>
        <v>25</v>
      </c>
      <c r="E1767" s="8">
        <v>60.8</v>
      </c>
      <c r="F1767" s="7" t="s">
        <v>7</v>
      </c>
    </row>
    <row r="1768" s="2" customFormat="1" ht="14.1" customHeight="1" spans="1:6">
      <c r="A1768" s="7" t="str">
        <f>"2102705926"</f>
        <v>2102705926</v>
      </c>
      <c r="B1768" s="7" t="str">
        <f t="shared" si="93"/>
        <v>2021027</v>
      </c>
      <c r="C1768" s="7" t="str">
        <f t="shared" si="95"/>
        <v>059</v>
      </c>
      <c r="D1768" s="7" t="str">
        <f>"26"</f>
        <v>26</v>
      </c>
      <c r="E1768" s="8">
        <v>62.8</v>
      </c>
      <c r="F1768" s="7" t="s">
        <v>7</v>
      </c>
    </row>
    <row r="1769" s="2" customFormat="1" ht="14.1" customHeight="1" spans="1:6">
      <c r="A1769" s="7" t="str">
        <f>"2102705927"</f>
        <v>2102705927</v>
      </c>
      <c r="B1769" s="7" t="str">
        <f t="shared" si="93"/>
        <v>2021027</v>
      </c>
      <c r="C1769" s="7" t="str">
        <f t="shared" si="95"/>
        <v>059</v>
      </c>
      <c r="D1769" s="7" t="str">
        <f>"27"</f>
        <v>27</v>
      </c>
      <c r="E1769" s="8">
        <v>0</v>
      </c>
      <c r="F1769" s="7" t="s">
        <v>8</v>
      </c>
    </row>
    <row r="1770" s="2" customFormat="1" ht="14.1" customHeight="1" spans="1:6">
      <c r="A1770" s="7" t="str">
        <f>"2102705928"</f>
        <v>2102705928</v>
      </c>
      <c r="B1770" s="7" t="str">
        <f t="shared" ref="B1770:B1833" si="96">"2021027"</f>
        <v>2021027</v>
      </c>
      <c r="C1770" s="7" t="str">
        <f t="shared" si="95"/>
        <v>059</v>
      </c>
      <c r="D1770" s="7" t="str">
        <f>"28"</f>
        <v>28</v>
      </c>
      <c r="E1770" s="8">
        <v>61.1</v>
      </c>
      <c r="F1770" s="7" t="s">
        <v>7</v>
      </c>
    </row>
    <row r="1771" s="2" customFormat="1" ht="14.1" customHeight="1" spans="1:6">
      <c r="A1771" s="7" t="str">
        <f>"2102705929"</f>
        <v>2102705929</v>
      </c>
      <c r="B1771" s="7" t="str">
        <f t="shared" si="96"/>
        <v>2021027</v>
      </c>
      <c r="C1771" s="7" t="str">
        <f t="shared" si="95"/>
        <v>059</v>
      </c>
      <c r="D1771" s="7" t="str">
        <f>"29"</f>
        <v>29</v>
      </c>
      <c r="E1771" s="8">
        <v>0</v>
      </c>
      <c r="F1771" s="7" t="s">
        <v>8</v>
      </c>
    </row>
    <row r="1772" s="2" customFormat="1" ht="14.1" customHeight="1" spans="1:6">
      <c r="A1772" s="7" t="str">
        <f>"2102705930"</f>
        <v>2102705930</v>
      </c>
      <c r="B1772" s="7" t="str">
        <f t="shared" si="96"/>
        <v>2021027</v>
      </c>
      <c r="C1772" s="7" t="str">
        <f t="shared" si="95"/>
        <v>059</v>
      </c>
      <c r="D1772" s="7" t="str">
        <f>"30"</f>
        <v>30</v>
      </c>
      <c r="E1772" s="8">
        <v>70.4</v>
      </c>
      <c r="F1772" s="7" t="s">
        <v>7</v>
      </c>
    </row>
    <row r="1773" s="2" customFormat="1" ht="14.1" customHeight="1" spans="1:6">
      <c r="A1773" s="7" t="str">
        <f>"2102706001"</f>
        <v>2102706001</v>
      </c>
      <c r="B1773" s="7" t="str">
        <f t="shared" si="96"/>
        <v>2021027</v>
      </c>
      <c r="C1773" s="7" t="str">
        <f t="shared" ref="C1773:C1802" si="97">"060"</f>
        <v>060</v>
      </c>
      <c r="D1773" s="7" t="str">
        <f>"01"</f>
        <v>01</v>
      </c>
      <c r="E1773" s="8">
        <v>53</v>
      </c>
      <c r="F1773" s="7" t="s">
        <v>7</v>
      </c>
    </row>
    <row r="1774" s="2" customFormat="1" ht="14.1" customHeight="1" spans="1:6">
      <c r="A1774" s="7" t="str">
        <f>"2102706002"</f>
        <v>2102706002</v>
      </c>
      <c r="B1774" s="7" t="str">
        <f t="shared" si="96"/>
        <v>2021027</v>
      </c>
      <c r="C1774" s="7" t="str">
        <f t="shared" si="97"/>
        <v>060</v>
      </c>
      <c r="D1774" s="7" t="str">
        <f>"02"</f>
        <v>02</v>
      </c>
      <c r="E1774" s="8">
        <v>62.4</v>
      </c>
      <c r="F1774" s="7" t="s">
        <v>7</v>
      </c>
    </row>
    <row r="1775" s="2" customFormat="1" ht="14.1" customHeight="1" spans="1:6">
      <c r="A1775" s="7" t="str">
        <f>"2102706003"</f>
        <v>2102706003</v>
      </c>
      <c r="B1775" s="7" t="str">
        <f t="shared" si="96"/>
        <v>2021027</v>
      </c>
      <c r="C1775" s="7" t="str">
        <f t="shared" si="97"/>
        <v>060</v>
      </c>
      <c r="D1775" s="7" t="str">
        <f>"03"</f>
        <v>03</v>
      </c>
      <c r="E1775" s="8">
        <v>0</v>
      </c>
      <c r="F1775" s="7" t="s">
        <v>8</v>
      </c>
    </row>
    <row r="1776" s="2" customFormat="1" ht="14.1" customHeight="1" spans="1:6">
      <c r="A1776" s="7" t="str">
        <f>"2102706004"</f>
        <v>2102706004</v>
      </c>
      <c r="B1776" s="7" t="str">
        <f t="shared" si="96"/>
        <v>2021027</v>
      </c>
      <c r="C1776" s="7" t="str">
        <f t="shared" si="97"/>
        <v>060</v>
      </c>
      <c r="D1776" s="7" t="str">
        <f>"04"</f>
        <v>04</v>
      </c>
      <c r="E1776" s="8">
        <v>66.5</v>
      </c>
      <c r="F1776" s="7" t="s">
        <v>7</v>
      </c>
    </row>
    <row r="1777" s="2" customFormat="1" ht="14.1" customHeight="1" spans="1:6">
      <c r="A1777" s="7" t="str">
        <f>"2102706005"</f>
        <v>2102706005</v>
      </c>
      <c r="B1777" s="7" t="str">
        <f t="shared" si="96"/>
        <v>2021027</v>
      </c>
      <c r="C1777" s="7" t="str">
        <f t="shared" si="97"/>
        <v>060</v>
      </c>
      <c r="D1777" s="7" t="str">
        <f>"05"</f>
        <v>05</v>
      </c>
      <c r="E1777" s="8">
        <v>0</v>
      </c>
      <c r="F1777" s="7" t="s">
        <v>8</v>
      </c>
    </row>
    <row r="1778" s="2" customFormat="1" ht="14.1" customHeight="1" spans="1:6">
      <c r="A1778" s="7" t="str">
        <f>"2102706006"</f>
        <v>2102706006</v>
      </c>
      <c r="B1778" s="7" t="str">
        <f t="shared" si="96"/>
        <v>2021027</v>
      </c>
      <c r="C1778" s="7" t="str">
        <f t="shared" si="97"/>
        <v>060</v>
      </c>
      <c r="D1778" s="7" t="str">
        <f>"06"</f>
        <v>06</v>
      </c>
      <c r="E1778" s="8">
        <v>66.3</v>
      </c>
      <c r="F1778" s="7" t="s">
        <v>7</v>
      </c>
    </row>
    <row r="1779" s="2" customFormat="1" ht="14.1" customHeight="1" spans="1:6">
      <c r="A1779" s="7" t="str">
        <f>"2102706007"</f>
        <v>2102706007</v>
      </c>
      <c r="B1779" s="7" t="str">
        <f t="shared" si="96"/>
        <v>2021027</v>
      </c>
      <c r="C1779" s="7" t="str">
        <f t="shared" si="97"/>
        <v>060</v>
      </c>
      <c r="D1779" s="7" t="str">
        <f>"07"</f>
        <v>07</v>
      </c>
      <c r="E1779" s="8">
        <v>0</v>
      </c>
      <c r="F1779" s="7" t="s">
        <v>8</v>
      </c>
    </row>
    <row r="1780" s="2" customFormat="1" ht="14.1" customHeight="1" spans="1:6">
      <c r="A1780" s="7" t="str">
        <f>"2102706008"</f>
        <v>2102706008</v>
      </c>
      <c r="B1780" s="7" t="str">
        <f t="shared" si="96"/>
        <v>2021027</v>
      </c>
      <c r="C1780" s="7" t="str">
        <f t="shared" si="97"/>
        <v>060</v>
      </c>
      <c r="D1780" s="7" t="str">
        <f>"08"</f>
        <v>08</v>
      </c>
      <c r="E1780" s="8">
        <v>0</v>
      </c>
      <c r="F1780" s="7" t="s">
        <v>8</v>
      </c>
    </row>
    <row r="1781" s="2" customFormat="1" ht="14.1" customHeight="1" spans="1:6">
      <c r="A1781" s="7" t="str">
        <f>"2102706009"</f>
        <v>2102706009</v>
      </c>
      <c r="B1781" s="7" t="str">
        <f t="shared" si="96"/>
        <v>2021027</v>
      </c>
      <c r="C1781" s="7" t="str">
        <f t="shared" si="97"/>
        <v>060</v>
      </c>
      <c r="D1781" s="7" t="str">
        <f>"09"</f>
        <v>09</v>
      </c>
      <c r="E1781" s="8">
        <v>63.9</v>
      </c>
      <c r="F1781" s="7" t="s">
        <v>7</v>
      </c>
    </row>
    <row r="1782" s="2" customFormat="1" ht="14.1" customHeight="1" spans="1:6">
      <c r="A1782" s="7" t="str">
        <f>"2102706010"</f>
        <v>2102706010</v>
      </c>
      <c r="B1782" s="7" t="str">
        <f t="shared" si="96"/>
        <v>2021027</v>
      </c>
      <c r="C1782" s="7" t="str">
        <f t="shared" si="97"/>
        <v>060</v>
      </c>
      <c r="D1782" s="7" t="str">
        <f>"10"</f>
        <v>10</v>
      </c>
      <c r="E1782" s="8">
        <v>0</v>
      </c>
      <c r="F1782" s="7" t="s">
        <v>8</v>
      </c>
    </row>
    <row r="1783" s="2" customFormat="1" ht="14.1" customHeight="1" spans="1:6">
      <c r="A1783" s="7" t="str">
        <f>"2102706011"</f>
        <v>2102706011</v>
      </c>
      <c r="B1783" s="7" t="str">
        <f t="shared" si="96"/>
        <v>2021027</v>
      </c>
      <c r="C1783" s="7" t="str">
        <f t="shared" si="97"/>
        <v>060</v>
      </c>
      <c r="D1783" s="7" t="str">
        <f>"11"</f>
        <v>11</v>
      </c>
      <c r="E1783" s="8">
        <v>59</v>
      </c>
      <c r="F1783" s="7" t="s">
        <v>7</v>
      </c>
    </row>
    <row r="1784" s="2" customFormat="1" ht="14.1" customHeight="1" spans="1:6">
      <c r="A1784" s="7" t="str">
        <f>"2102706012"</f>
        <v>2102706012</v>
      </c>
      <c r="B1784" s="7" t="str">
        <f t="shared" si="96"/>
        <v>2021027</v>
      </c>
      <c r="C1784" s="7" t="str">
        <f t="shared" si="97"/>
        <v>060</v>
      </c>
      <c r="D1784" s="7" t="str">
        <f>"12"</f>
        <v>12</v>
      </c>
      <c r="E1784" s="8">
        <v>0</v>
      </c>
      <c r="F1784" s="7" t="s">
        <v>8</v>
      </c>
    </row>
    <row r="1785" s="2" customFormat="1" ht="14.1" customHeight="1" spans="1:6">
      <c r="A1785" s="7" t="str">
        <f>"2102706013"</f>
        <v>2102706013</v>
      </c>
      <c r="B1785" s="7" t="str">
        <f t="shared" si="96"/>
        <v>2021027</v>
      </c>
      <c r="C1785" s="7" t="str">
        <f t="shared" si="97"/>
        <v>060</v>
      </c>
      <c r="D1785" s="7" t="str">
        <f>"13"</f>
        <v>13</v>
      </c>
      <c r="E1785" s="8">
        <v>70.8</v>
      </c>
      <c r="F1785" s="7" t="s">
        <v>7</v>
      </c>
    </row>
    <row r="1786" s="2" customFormat="1" ht="14.1" customHeight="1" spans="1:6">
      <c r="A1786" s="7" t="str">
        <f>"2102706014"</f>
        <v>2102706014</v>
      </c>
      <c r="B1786" s="7" t="str">
        <f t="shared" si="96"/>
        <v>2021027</v>
      </c>
      <c r="C1786" s="7" t="str">
        <f t="shared" si="97"/>
        <v>060</v>
      </c>
      <c r="D1786" s="7" t="str">
        <f>"14"</f>
        <v>14</v>
      </c>
      <c r="E1786" s="8">
        <v>63.1</v>
      </c>
      <c r="F1786" s="7" t="s">
        <v>7</v>
      </c>
    </row>
    <row r="1787" s="2" customFormat="1" ht="14.1" customHeight="1" spans="1:6">
      <c r="A1787" s="7" t="str">
        <f>"2102706015"</f>
        <v>2102706015</v>
      </c>
      <c r="B1787" s="7" t="str">
        <f t="shared" si="96"/>
        <v>2021027</v>
      </c>
      <c r="C1787" s="7" t="str">
        <f t="shared" si="97"/>
        <v>060</v>
      </c>
      <c r="D1787" s="7" t="str">
        <f>"15"</f>
        <v>15</v>
      </c>
      <c r="E1787" s="8">
        <v>61.2</v>
      </c>
      <c r="F1787" s="7" t="s">
        <v>7</v>
      </c>
    </row>
    <row r="1788" s="2" customFormat="1" ht="14.1" customHeight="1" spans="1:6">
      <c r="A1788" s="7" t="str">
        <f>"2102706016"</f>
        <v>2102706016</v>
      </c>
      <c r="B1788" s="7" t="str">
        <f t="shared" si="96"/>
        <v>2021027</v>
      </c>
      <c r="C1788" s="7" t="str">
        <f t="shared" si="97"/>
        <v>060</v>
      </c>
      <c r="D1788" s="7" t="str">
        <f>"16"</f>
        <v>16</v>
      </c>
      <c r="E1788" s="8">
        <v>0</v>
      </c>
      <c r="F1788" s="7" t="s">
        <v>8</v>
      </c>
    </row>
    <row r="1789" s="2" customFormat="1" ht="14.1" customHeight="1" spans="1:6">
      <c r="A1789" s="7" t="str">
        <f>"2102706017"</f>
        <v>2102706017</v>
      </c>
      <c r="B1789" s="7" t="str">
        <f t="shared" si="96"/>
        <v>2021027</v>
      </c>
      <c r="C1789" s="7" t="str">
        <f t="shared" si="97"/>
        <v>060</v>
      </c>
      <c r="D1789" s="7" t="str">
        <f>"17"</f>
        <v>17</v>
      </c>
      <c r="E1789" s="8">
        <v>0</v>
      </c>
      <c r="F1789" s="7" t="s">
        <v>8</v>
      </c>
    </row>
    <row r="1790" s="2" customFormat="1" ht="14.1" customHeight="1" spans="1:6">
      <c r="A1790" s="7" t="str">
        <f>"2102706018"</f>
        <v>2102706018</v>
      </c>
      <c r="B1790" s="7" t="str">
        <f t="shared" si="96"/>
        <v>2021027</v>
      </c>
      <c r="C1790" s="7" t="str">
        <f t="shared" si="97"/>
        <v>060</v>
      </c>
      <c r="D1790" s="7" t="str">
        <f>"18"</f>
        <v>18</v>
      </c>
      <c r="E1790" s="8">
        <v>57</v>
      </c>
      <c r="F1790" s="7" t="s">
        <v>7</v>
      </c>
    </row>
    <row r="1791" s="2" customFormat="1" ht="14.1" customHeight="1" spans="1:6">
      <c r="A1791" s="7" t="str">
        <f>"2102706019"</f>
        <v>2102706019</v>
      </c>
      <c r="B1791" s="7" t="str">
        <f t="shared" si="96"/>
        <v>2021027</v>
      </c>
      <c r="C1791" s="7" t="str">
        <f t="shared" si="97"/>
        <v>060</v>
      </c>
      <c r="D1791" s="7" t="str">
        <f>"19"</f>
        <v>19</v>
      </c>
      <c r="E1791" s="8">
        <v>0</v>
      </c>
      <c r="F1791" s="7" t="s">
        <v>8</v>
      </c>
    </row>
    <row r="1792" s="2" customFormat="1" ht="14.1" customHeight="1" spans="1:6">
      <c r="A1792" s="7" t="str">
        <f>"2102706020"</f>
        <v>2102706020</v>
      </c>
      <c r="B1792" s="7" t="str">
        <f t="shared" si="96"/>
        <v>2021027</v>
      </c>
      <c r="C1792" s="7" t="str">
        <f t="shared" si="97"/>
        <v>060</v>
      </c>
      <c r="D1792" s="7" t="str">
        <f>"20"</f>
        <v>20</v>
      </c>
      <c r="E1792" s="8">
        <v>0</v>
      </c>
      <c r="F1792" s="7" t="s">
        <v>8</v>
      </c>
    </row>
    <row r="1793" s="2" customFormat="1" ht="14.1" customHeight="1" spans="1:6">
      <c r="A1793" s="7" t="str">
        <f>"2102706021"</f>
        <v>2102706021</v>
      </c>
      <c r="B1793" s="7" t="str">
        <f t="shared" si="96"/>
        <v>2021027</v>
      </c>
      <c r="C1793" s="7" t="str">
        <f t="shared" si="97"/>
        <v>060</v>
      </c>
      <c r="D1793" s="7" t="str">
        <f>"21"</f>
        <v>21</v>
      </c>
      <c r="E1793" s="8">
        <v>60.9</v>
      </c>
      <c r="F1793" s="7" t="s">
        <v>7</v>
      </c>
    </row>
    <row r="1794" s="2" customFormat="1" ht="14.1" customHeight="1" spans="1:6">
      <c r="A1794" s="7" t="str">
        <f>"2102706022"</f>
        <v>2102706022</v>
      </c>
      <c r="B1794" s="7" t="str">
        <f t="shared" si="96"/>
        <v>2021027</v>
      </c>
      <c r="C1794" s="7" t="str">
        <f t="shared" si="97"/>
        <v>060</v>
      </c>
      <c r="D1794" s="7" t="str">
        <f>"22"</f>
        <v>22</v>
      </c>
      <c r="E1794" s="8">
        <v>57.1</v>
      </c>
      <c r="F1794" s="7" t="s">
        <v>7</v>
      </c>
    </row>
    <row r="1795" s="2" customFormat="1" ht="14.1" customHeight="1" spans="1:6">
      <c r="A1795" s="7" t="str">
        <f>"2102706023"</f>
        <v>2102706023</v>
      </c>
      <c r="B1795" s="7" t="str">
        <f t="shared" si="96"/>
        <v>2021027</v>
      </c>
      <c r="C1795" s="7" t="str">
        <f t="shared" si="97"/>
        <v>060</v>
      </c>
      <c r="D1795" s="7" t="str">
        <f>"23"</f>
        <v>23</v>
      </c>
      <c r="E1795" s="8">
        <v>69.3</v>
      </c>
      <c r="F1795" s="7" t="s">
        <v>7</v>
      </c>
    </row>
    <row r="1796" s="2" customFormat="1" ht="14.1" customHeight="1" spans="1:6">
      <c r="A1796" s="7" t="str">
        <f>"2102706024"</f>
        <v>2102706024</v>
      </c>
      <c r="B1796" s="7" t="str">
        <f t="shared" si="96"/>
        <v>2021027</v>
      </c>
      <c r="C1796" s="7" t="str">
        <f t="shared" si="97"/>
        <v>060</v>
      </c>
      <c r="D1796" s="7" t="str">
        <f>"24"</f>
        <v>24</v>
      </c>
      <c r="E1796" s="8">
        <v>58.4</v>
      </c>
      <c r="F1796" s="7" t="s">
        <v>7</v>
      </c>
    </row>
    <row r="1797" s="2" customFormat="1" ht="14.1" customHeight="1" spans="1:6">
      <c r="A1797" s="7" t="str">
        <f>"2102706025"</f>
        <v>2102706025</v>
      </c>
      <c r="B1797" s="7" t="str">
        <f t="shared" si="96"/>
        <v>2021027</v>
      </c>
      <c r="C1797" s="7" t="str">
        <f t="shared" si="97"/>
        <v>060</v>
      </c>
      <c r="D1797" s="7" t="str">
        <f>"25"</f>
        <v>25</v>
      </c>
      <c r="E1797" s="8">
        <v>0</v>
      </c>
      <c r="F1797" s="7" t="s">
        <v>8</v>
      </c>
    </row>
    <row r="1798" s="2" customFormat="1" ht="14.1" customHeight="1" spans="1:6">
      <c r="A1798" s="7" t="str">
        <f>"2102706026"</f>
        <v>2102706026</v>
      </c>
      <c r="B1798" s="7" t="str">
        <f t="shared" si="96"/>
        <v>2021027</v>
      </c>
      <c r="C1798" s="7" t="str">
        <f t="shared" si="97"/>
        <v>060</v>
      </c>
      <c r="D1798" s="7" t="str">
        <f>"26"</f>
        <v>26</v>
      </c>
      <c r="E1798" s="8">
        <v>0</v>
      </c>
      <c r="F1798" s="7" t="s">
        <v>8</v>
      </c>
    </row>
    <row r="1799" s="2" customFormat="1" ht="14.1" customHeight="1" spans="1:6">
      <c r="A1799" s="7" t="str">
        <f>"2102706027"</f>
        <v>2102706027</v>
      </c>
      <c r="B1799" s="7" t="str">
        <f t="shared" si="96"/>
        <v>2021027</v>
      </c>
      <c r="C1799" s="7" t="str">
        <f t="shared" si="97"/>
        <v>060</v>
      </c>
      <c r="D1799" s="7" t="str">
        <f>"27"</f>
        <v>27</v>
      </c>
      <c r="E1799" s="8">
        <v>0</v>
      </c>
      <c r="F1799" s="7" t="s">
        <v>8</v>
      </c>
    </row>
    <row r="1800" s="2" customFormat="1" ht="14.1" customHeight="1" spans="1:6">
      <c r="A1800" s="7" t="str">
        <f>"2102706028"</f>
        <v>2102706028</v>
      </c>
      <c r="B1800" s="7" t="str">
        <f t="shared" si="96"/>
        <v>2021027</v>
      </c>
      <c r="C1800" s="7" t="str">
        <f t="shared" si="97"/>
        <v>060</v>
      </c>
      <c r="D1800" s="7" t="str">
        <f>"28"</f>
        <v>28</v>
      </c>
      <c r="E1800" s="8">
        <v>60.2</v>
      </c>
      <c r="F1800" s="7" t="s">
        <v>7</v>
      </c>
    </row>
    <row r="1801" s="2" customFormat="1" ht="14.1" customHeight="1" spans="1:6">
      <c r="A1801" s="7" t="str">
        <f>"2102706029"</f>
        <v>2102706029</v>
      </c>
      <c r="B1801" s="7" t="str">
        <f t="shared" si="96"/>
        <v>2021027</v>
      </c>
      <c r="C1801" s="7" t="str">
        <f t="shared" si="97"/>
        <v>060</v>
      </c>
      <c r="D1801" s="7" t="str">
        <f>"29"</f>
        <v>29</v>
      </c>
      <c r="E1801" s="8">
        <v>64.5</v>
      </c>
      <c r="F1801" s="7" t="s">
        <v>7</v>
      </c>
    </row>
    <row r="1802" s="2" customFormat="1" ht="14.1" customHeight="1" spans="1:6">
      <c r="A1802" s="7" t="str">
        <f>"2102706030"</f>
        <v>2102706030</v>
      </c>
      <c r="B1802" s="7" t="str">
        <f t="shared" si="96"/>
        <v>2021027</v>
      </c>
      <c r="C1802" s="7" t="str">
        <f t="shared" si="97"/>
        <v>060</v>
      </c>
      <c r="D1802" s="7" t="str">
        <f>"30"</f>
        <v>30</v>
      </c>
      <c r="E1802" s="8">
        <v>57.1</v>
      </c>
      <c r="F1802" s="7" t="s">
        <v>7</v>
      </c>
    </row>
    <row r="1803" s="2" customFormat="1" ht="14.1" customHeight="1" spans="1:6">
      <c r="A1803" s="7" t="str">
        <f>"2102706101"</f>
        <v>2102706101</v>
      </c>
      <c r="B1803" s="7" t="str">
        <f t="shared" si="96"/>
        <v>2021027</v>
      </c>
      <c r="C1803" s="7" t="str">
        <f t="shared" ref="C1803:C1832" si="98">"061"</f>
        <v>061</v>
      </c>
      <c r="D1803" s="7" t="str">
        <f>"01"</f>
        <v>01</v>
      </c>
      <c r="E1803" s="8">
        <v>50.5</v>
      </c>
      <c r="F1803" s="7" t="s">
        <v>7</v>
      </c>
    </row>
    <row r="1804" s="2" customFormat="1" ht="14.1" customHeight="1" spans="1:6">
      <c r="A1804" s="7" t="str">
        <f>"2102706102"</f>
        <v>2102706102</v>
      </c>
      <c r="B1804" s="7" t="str">
        <f t="shared" si="96"/>
        <v>2021027</v>
      </c>
      <c r="C1804" s="7" t="str">
        <f t="shared" si="98"/>
        <v>061</v>
      </c>
      <c r="D1804" s="7" t="str">
        <f>"02"</f>
        <v>02</v>
      </c>
      <c r="E1804" s="8">
        <v>0</v>
      </c>
      <c r="F1804" s="7" t="s">
        <v>8</v>
      </c>
    </row>
    <row r="1805" s="2" customFormat="1" ht="14.1" customHeight="1" spans="1:6">
      <c r="A1805" s="7" t="str">
        <f>"2102706103"</f>
        <v>2102706103</v>
      </c>
      <c r="B1805" s="7" t="str">
        <f t="shared" si="96"/>
        <v>2021027</v>
      </c>
      <c r="C1805" s="7" t="str">
        <f t="shared" si="98"/>
        <v>061</v>
      </c>
      <c r="D1805" s="7" t="str">
        <f>"03"</f>
        <v>03</v>
      </c>
      <c r="E1805" s="8">
        <v>0</v>
      </c>
      <c r="F1805" s="7" t="s">
        <v>8</v>
      </c>
    </row>
    <row r="1806" s="2" customFormat="1" ht="14.1" customHeight="1" spans="1:6">
      <c r="A1806" s="7" t="str">
        <f>"2102706104"</f>
        <v>2102706104</v>
      </c>
      <c r="B1806" s="7" t="str">
        <f t="shared" si="96"/>
        <v>2021027</v>
      </c>
      <c r="C1806" s="7" t="str">
        <f t="shared" si="98"/>
        <v>061</v>
      </c>
      <c r="D1806" s="7" t="str">
        <f>"04"</f>
        <v>04</v>
      </c>
      <c r="E1806" s="8">
        <v>75.9</v>
      </c>
      <c r="F1806" s="7" t="s">
        <v>7</v>
      </c>
    </row>
    <row r="1807" s="2" customFormat="1" ht="14.1" customHeight="1" spans="1:6">
      <c r="A1807" s="7" t="str">
        <f>"2102706105"</f>
        <v>2102706105</v>
      </c>
      <c r="B1807" s="7" t="str">
        <f t="shared" si="96"/>
        <v>2021027</v>
      </c>
      <c r="C1807" s="7" t="str">
        <f t="shared" si="98"/>
        <v>061</v>
      </c>
      <c r="D1807" s="7" t="str">
        <f>"05"</f>
        <v>05</v>
      </c>
      <c r="E1807" s="8">
        <v>48</v>
      </c>
      <c r="F1807" s="7" t="s">
        <v>7</v>
      </c>
    </row>
    <row r="1808" s="2" customFormat="1" ht="14.1" customHeight="1" spans="1:6">
      <c r="A1808" s="7" t="str">
        <f>"2102706106"</f>
        <v>2102706106</v>
      </c>
      <c r="B1808" s="7" t="str">
        <f t="shared" si="96"/>
        <v>2021027</v>
      </c>
      <c r="C1808" s="7" t="str">
        <f t="shared" si="98"/>
        <v>061</v>
      </c>
      <c r="D1808" s="7" t="str">
        <f>"06"</f>
        <v>06</v>
      </c>
      <c r="E1808" s="8">
        <v>0</v>
      </c>
      <c r="F1808" s="7" t="s">
        <v>8</v>
      </c>
    </row>
    <row r="1809" s="2" customFormat="1" ht="14.1" customHeight="1" spans="1:6">
      <c r="A1809" s="7" t="str">
        <f>"2102706107"</f>
        <v>2102706107</v>
      </c>
      <c r="B1809" s="7" t="str">
        <f t="shared" si="96"/>
        <v>2021027</v>
      </c>
      <c r="C1809" s="7" t="str">
        <f t="shared" si="98"/>
        <v>061</v>
      </c>
      <c r="D1809" s="7" t="str">
        <f>"07"</f>
        <v>07</v>
      </c>
      <c r="E1809" s="8">
        <v>0</v>
      </c>
      <c r="F1809" s="7" t="s">
        <v>8</v>
      </c>
    </row>
    <row r="1810" s="2" customFormat="1" ht="14.1" customHeight="1" spans="1:6">
      <c r="A1810" s="7" t="str">
        <f>"2102706108"</f>
        <v>2102706108</v>
      </c>
      <c r="B1810" s="7" t="str">
        <f t="shared" si="96"/>
        <v>2021027</v>
      </c>
      <c r="C1810" s="7" t="str">
        <f t="shared" si="98"/>
        <v>061</v>
      </c>
      <c r="D1810" s="7" t="str">
        <f>"08"</f>
        <v>08</v>
      </c>
      <c r="E1810" s="8">
        <v>0</v>
      </c>
      <c r="F1810" s="7" t="s">
        <v>8</v>
      </c>
    </row>
    <row r="1811" s="2" customFormat="1" ht="14.1" customHeight="1" spans="1:6">
      <c r="A1811" s="7" t="str">
        <f>"2102706109"</f>
        <v>2102706109</v>
      </c>
      <c r="B1811" s="7" t="str">
        <f t="shared" si="96"/>
        <v>2021027</v>
      </c>
      <c r="C1811" s="7" t="str">
        <f t="shared" si="98"/>
        <v>061</v>
      </c>
      <c r="D1811" s="7" t="str">
        <f>"09"</f>
        <v>09</v>
      </c>
      <c r="E1811" s="8">
        <v>55.9</v>
      </c>
      <c r="F1811" s="7" t="s">
        <v>7</v>
      </c>
    </row>
    <row r="1812" s="2" customFormat="1" ht="14.1" customHeight="1" spans="1:6">
      <c r="A1812" s="7" t="str">
        <f>"2102706110"</f>
        <v>2102706110</v>
      </c>
      <c r="B1812" s="7" t="str">
        <f t="shared" si="96"/>
        <v>2021027</v>
      </c>
      <c r="C1812" s="7" t="str">
        <f t="shared" si="98"/>
        <v>061</v>
      </c>
      <c r="D1812" s="7" t="str">
        <f>"10"</f>
        <v>10</v>
      </c>
      <c r="E1812" s="8">
        <v>57.9</v>
      </c>
      <c r="F1812" s="7" t="s">
        <v>7</v>
      </c>
    </row>
    <row r="1813" s="2" customFormat="1" ht="14.1" customHeight="1" spans="1:6">
      <c r="A1813" s="7" t="str">
        <f>"2102706111"</f>
        <v>2102706111</v>
      </c>
      <c r="B1813" s="7" t="str">
        <f t="shared" si="96"/>
        <v>2021027</v>
      </c>
      <c r="C1813" s="7" t="str">
        <f t="shared" si="98"/>
        <v>061</v>
      </c>
      <c r="D1813" s="7" t="str">
        <f>"11"</f>
        <v>11</v>
      </c>
      <c r="E1813" s="8">
        <v>66</v>
      </c>
      <c r="F1813" s="7" t="s">
        <v>7</v>
      </c>
    </row>
    <row r="1814" s="2" customFormat="1" ht="14.1" customHeight="1" spans="1:6">
      <c r="A1814" s="7" t="str">
        <f>"2102706112"</f>
        <v>2102706112</v>
      </c>
      <c r="B1814" s="7" t="str">
        <f t="shared" si="96"/>
        <v>2021027</v>
      </c>
      <c r="C1814" s="7" t="str">
        <f t="shared" si="98"/>
        <v>061</v>
      </c>
      <c r="D1814" s="7" t="str">
        <f>"12"</f>
        <v>12</v>
      </c>
      <c r="E1814" s="8">
        <v>57.4</v>
      </c>
      <c r="F1814" s="7" t="s">
        <v>7</v>
      </c>
    </row>
    <row r="1815" s="2" customFormat="1" ht="14.1" customHeight="1" spans="1:6">
      <c r="A1815" s="7" t="str">
        <f>"2102706113"</f>
        <v>2102706113</v>
      </c>
      <c r="B1815" s="7" t="str">
        <f t="shared" si="96"/>
        <v>2021027</v>
      </c>
      <c r="C1815" s="7" t="str">
        <f t="shared" si="98"/>
        <v>061</v>
      </c>
      <c r="D1815" s="7" t="str">
        <f>"13"</f>
        <v>13</v>
      </c>
      <c r="E1815" s="8">
        <v>0</v>
      </c>
      <c r="F1815" s="7" t="s">
        <v>8</v>
      </c>
    </row>
    <row r="1816" s="2" customFormat="1" ht="14.1" customHeight="1" spans="1:6">
      <c r="A1816" s="7" t="str">
        <f>"2102706114"</f>
        <v>2102706114</v>
      </c>
      <c r="B1816" s="7" t="str">
        <f t="shared" si="96"/>
        <v>2021027</v>
      </c>
      <c r="C1816" s="7" t="str">
        <f t="shared" si="98"/>
        <v>061</v>
      </c>
      <c r="D1816" s="7" t="str">
        <f>"14"</f>
        <v>14</v>
      </c>
      <c r="E1816" s="8">
        <v>0</v>
      </c>
      <c r="F1816" s="7" t="s">
        <v>8</v>
      </c>
    </row>
    <row r="1817" s="2" customFormat="1" ht="14.1" customHeight="1" spans="1:6">
      <c r="A1817" s="7" t="str">
        <f>"2102706115"</f>
        <v>2102706115</v>
      </c>
      <c r="B1817" s="7" t="str">
        <f t="shared" si="96"/>
        <v>2021027</v>
      </c>
      <c r="C1817" s="7" t="str">
        <f t="shared" si="98"/>
        <v>061</v>
      </c>
      <c r="D1817" s="7" t="str">
        <f>"15"</f>
        <v>15</v>
      </c>
      <c r="E1817" s="8">
        <v>0</v>
      </c>
      <c r="F1817" s="7" t="s">
        <v>8</v>
      </c>
    </row>
    <row r="1818" s="2" customFormat="1" ht="14.1" customHeight="1" spans="1:6">
      <c r="A1818" s="7" t="str">
        <f>"2102706116"</f>
        <v>2102706116</v>
      </c>
      <c r="B1818" s="7" t="str">
        <f t="shared" si="96"/>
        <v>2021027</v>
      </c>
      <c r="C1818" s="7" t="str">
        <f t="shared" si="98"/>
        <v>061</v>
      </c>
      <c r="D1818" s="7" t="str">
        <f>"16"</f>
        <v>16</v>
      </c>
      <c r="E1818" s="8">
        <v>55.7</v>
      </c>
      <c r="F1818" s="7" t="s">
        <v>7</v>
      </c>
    </row>
    <row r="1819" s="2" customFormat="1" ht="14.1" customHeight="1" spans="1:6">
      <c r="A1819" s="7" t="str">
        <f>"2102706117"</f>
        <v>2102706117</v>
      </c>
      <c r="B1819" s="7" t="str">
        <f t="shared" si="96"/>
        <v>2021027</v>
      </c>
      <c r="C1819" s="7" t="str">
        <f t="shared" si="98"/>
        <v>061</v>
      </c>
      <c r="D1819" s="7" t="str">
        <f>"17"</f>
        <v>17</v>
      </c>
      <c r="E1819" s="8">
        <v>59.3</v>
      </c>
      <c r="F1819" s="7" t="s">
        <v>7</v>
      </c>
    </row>
    <row r="1820" s="2" customFormat="1" ht="14.1" customHeight="1" spans="1:6">
      <c r="A1820" s="7" t="str">
        <f>"2102706118"</f>
        <v>2102706118</v>
      </c>
      <c r="B1820" s="7" t="str">
        <f t="shared" si="96"/>
        <v>2021027</v>
      </c>
      <c r="C1820" s="7" t="str">
        <f t="shared" si="98"/>
        <v>061</v>
      </c>
      <c r="D1820" s="7" t="str">
        <f>"18"</f>
        <v>18</v>
      </c>
      <c r="E1820" s="8">
        <v>61.6</v>
      </c>
      <c r="F1820" s="7" t="s">
        <v>7</v>
      </c>
    </row>
    <row r="1821" s="2" customFormat="1" ht="14.1" customHeight="1" spans="1:6">
      <c r="A1821" s="7" t="str">
        <f>"2102706119"</f>
        <v>2102706119</v>
      </c>
      <c r="B1821" s="7" t="str">
        <f t="shared" si="96"/>
        <v>2021027</v>
      </c>
      <c r="C1821" s="7" t="str">
        <f t="shared" si="98"/>
        <v>061</v>
      </c>
      <c r="D1821" s="7" t="str">
        <f>"19"</f>
        <v>19</v>
      </c>
      <c r="E1821" s="8">
        <v>0</v>
      </c>
      <c r="F1821" s="7" t="s">
        <v>8</v>
      </c>
    </row>
    <row r="1822" s="2" customFormat="1" ht="14.1" customHeight="1" spans="1:6">
      <c r="A1822" s="7" t="str">
        <f>"2102706120"</f>
        <v>2102706120</v>
      </c>
      <c r="B1822" s="7" t="str">
        <f t="shared" si="96"/>
        <v>2021027</v>
      </c>
      <c r="C1822" s="7" t="str">
        <f t="shared" si="98"/>
        <v>061</v>
      </c>
      <c r="D1822" s="7" t="str">
        <f>"20"</f>
        <v>20</v>
      </c>
      <c r="E1822" s="8">
        <v>0</v>
      </c>
      <c r="F1822" s="7" t="s">
        <v>8</v>
      </c>
    </row>
    <row r="1823" s="2" customFormat="1" ht="14.1" customHeight="1" spans="1:6">
      <c r="A1823" s="7" t="str">
        <f>"2102706121"</f>
        <v>2102706121</v>
      </c>
      <c r="B1823" s="7" t="str">
        <f t="shared" si="96"/>
        <v>2021027</v>
      </c>
      <c r="C1823" s="7" t="str">
        <f t="shared" si="98"/>
        <v>061</v>
      </c>
      <c r="D1823" s="7" t="str">
        <f>"21"</f>
        <v>21</v>
      </c>
      <c r="E1823" s="8">
        <v>0</v>
      </c>
      <c r="F1823" s="7" t="s">
        <v>8</v>
      </c>
    </row>
    <row r="1824" s="2" customFormat="1" ht="14.1" customHeight="1" spans="1:6">
      <c r="A1824" s="7" t="str">
        <f>"2102706122"</f>
        <v>2102706122</v>
      </c>
      <c r="B1824" s="7" t="str">
        <f t="shared" si="96"/>
        <v>2021027</v>
      </c>
      <c r="C1824" s="7" t="str">
        <f t="shared" si="98"/>
        <v>061</v>
      </c>
      <c r="D1824" s="7" t="str">
        <f>"22"</f>
        <v>22</v>
      </c>
      <c r="E1824" s="8">
        <v>62.2</v>
      </c>
      <c r="F1824" s="7" t="s">
        <v>7</v>
      </c>
    </row>
    <row r="1825" s="2" customFormat="1" ht="14.1" customHeight="1" spans="1:6">
      <c r="A1825" s="7" t="str">
        <f>"2102706123"</f>
        <v>2102706123</v>
      </c>
      <c r="B1825" s="7" t="str">
        <f t="shared" si="96"/>
        <v>2021027</v>
      </c>
      <c r="C1825" s="7" t="str">
        <f t="shared" si="98"/>
        <v>061</v>
      </c>
      <c r="D1825" s="7" t="str">
        <f>"23"</f>
        <v>23</v>
      </c>
      <c r="E1825" s="8">
        <v>0</v>
      </c>
      <c r="F1825" s="7" t="s">
        <v>8</v>
      </c>
    </row>
    <row r="1826" s="2" customFormat="1" ht="14.1" customHeight="1" spans="1:6">
      <c r="A1826" s="7" t="str">
        <f>"2102706124"</f>
        <v>2102706124</v>
      </c>
      <c r="B1826" s="7" t="str">
        <f t="shared" si="96"/>
        <v>2021027</v>
      </c>
      <c r="C1826" s="7" t="str">
        <f t="shared" si="98"/>
        <v>061</v>
      </c>
      <c r="D1826" s="7" t="str">
        <f>"24"</f>
        <v>24</v>
      </c>
      <c r="E1826" s="8">
        <v>0</v>
      </c>
      <c r="F1826" s="7" t="s">
        <v>8</v>
      </c>
    </row>
    <row r="1827" s="2" customFormat="1" ht="14.1" customHeight="1" spans="1:6">
      <c r="A1827" s="7" t="str">
        <f>"2102706125"</f>
        <v>2102706125</v>
      </c>
      <c r="B1827" s="7" t="str">
        <f t="shared" si="96"/>
        <v>2021027</v>
      </c>
      <c r="C1827" s="7" t="str">
        <f t="shared" si="98"/>
        <v>061</v>
      </c>
      <c r="D1827" s="7" t="str">
        <f>"25"</f>
        <v>25</v>
      </c>
      <c r="E1827" s="8">
        <v>58.5</v>
      </c>
      <c r="F1827" s="7" t="s">
        <v>7</v>
      </c>
    </row>
    <row r="1828" s="2" customFormat="1" ht="14.1" customHeight="1" spans="1:6">
      <c r="A1828" s="7" t="str">
        <f>"2102706126"</f>
        <v>2102706126</v>
      </c>
      <c r="B1828" s="7" t="str">
        <f t="shared" si="96"/>
        <v>2021027</v>
      </c>
      <c r="C1828" s="7" t="str">
        <f t="shared" si="98"/>
        <v>061</v>
      </c>
      <c r="D1828" s="7" t="str">
        <f>"26"</f>
        <v>26</v>
      </c>
      <c r="E1828" s="8">
        <v>54.1</v>
      </c>
      <c r="F1828" s="7" t="s">
        <v>7</v>
      </c>
    </row>
    <row r="1829" s="2" customFormat="1" ht="14.1" customHeight="1" spans="1:6">
      <c r="A1829" s="7" t="str">
        <f>"2102706127"</f>
        <v>2102706127</v>
      </c>
      <c r="B1829" s="7" t="str">
        <f t="shared" si="96"/>
        <v>2021027</v>
      </c>
      <c r="C1829" s="7" t="str">
        <f t="shared" si="98"/>
        <v>061</v>
      </c>
      <c r="D1829" s="7" t="str">
        <f>"27"</f>
        <v>27</v>
      </c>
      <c r="E1829" s="8">
        <v>0</v>
      </c>
      <c r="F1829" s="7" t="s">
        <v>8</v>
      </c>
    </row>
    <row r="1830" s="2" customFormat="1" ht="14.1" customHeight="1" spans="1:6">
      <c r="A1830" s="7" t="str">
        <f>"2102706128"</f>
        <v>2102706128</v>
      </c>
      <c r="B1830" s="7" t="str">
        <f t="shared" si="96"/>
        <v>2021027</v>
      </c>
      <c r="C1830" s="7" t="str">
        <f t="shared" si="98"/>
        <v>061</v>
      </c>
      <c r="D1830" s="7" t="str">
        <f>"28"</f>
        <v>28</v>
      </c>
      <c r="E1830" s="8">
        <v>0</v>
      </c>
      <c r="F1830" s="7" t="s">
        <v>8</v>
      </c>
    </row>
    <row r="1831" s="2" customFormat="1" ht="14.1" customHeight="1" spans="1:6">
      <c r="A1831" s="7" t="str">
        <f>"2102706129"</f>
        <v>2102706129</v>
      </c>
      <c r="B1831" s="7" t="str">
        <f t="shared" si="96"/>
        <v>2021027</v>
      </c>
      <c r="C1831" s="7" t="str">
        <f t="shared" si="98"/>
        <v>061</v>
      </c>
      <c r="D1831" s="7" t="str">
        <f>"29"</f>
        <v>29</v>
      </c>
      <c r="E1831" s="8">
        <v>0</v>
      </c>
      <c r="F1831" s="7" t="s">
        <v>8</v>
      </c>
    </row>
    <row r="1832" s="2" customFormat="1" ht="14.1" customHeight="1" spans="1:6">
      <c r="A1832" s="7" t="str">
        <f>"2102706130"</f>
        <v>2102706130</v>
      </c>
      <c r="B1832" s="7" t="str">
        <f t="shared" si="96"/>
        <v>2021027</v>
      </c>
      <c r="C1832" s="7" t="str">
        <f t="shared" si="98"/>
        <v>061</v>
      </c>
      <c r="D1832" s="7" t="str">
        <f>"30"</f>
        <v>30</v>
      </c>
      <c r="E1832" s="8">
        <v>48.9</v>
      </c>
      <c r="F1832" s="7" t="s">
        <v>7</v>
      </c>
    </row>
    <row r="1833" s="2" customFormat="1" ht="14.1" customHeight="1" spans="1:6">
      <c r="A1833" s="7" t="str">
        <f>"2102706201"</f>
        <v>2102706201</v>
      </c>
      <c r="B1833" s="7" t="str">
        <f t="shared" si="96"/>
        <v>2021027</v>
      </c>
      <c r="C1833" s="7" t="str">
        <f t="shared" ref="C1833:C1862" si="99">"062"</f>
        <v>062</v>
      </c>
      <c r="D1833" s="7" t="str">
        <f>"01"</f>
        <v>01</v>
      </c>
      <c r="E1833" s="8">
        <v>65.2</v>
      </c>
      <c r="F1833" s="7" t="s">
        <v>7</v>
      </c>
    </row>
    <row r="1834" s="2" customFormat="1" ht="14.1" customHeight="1" spans="1:6">
      <c r="A1834" s="7" t="str">
        <f>"2102706202"</f>
        <v>2102706202</v>
      </c>
      <c r="B1834" s="7" t="str">
        <f t="shared" ref="B1834:B1897" si="100">"2021027"</f>
        <v>2021027</v>
      </c>
      <c r="C1834" s="7" t="str">
        <f t="shared" si="99"/>
        <v>062</v>
      </c>
      <c r="D1834" s="7" t="str">
        <f>"02"</f>
        <v>02</v>
      </c>
      <c r="E1834" s="8">
        <v>0</v>
      </c>
      <c r="F1834" s="7" t="s">
        <v>8</v>
      </c>
    </row>
    <row r="1835" s="2" customFormat="1" ht="14.1" customHeight="1" spans="1:6">
      <c r="A1835" s="7" t="str">
        <f>"2102706203"</f>
        <v>2102706203</v>
      </c>
      <c r="B1835" s="7" t="str">
        <f t="shared" si="100"/>
        <v>2021027</v>
      </c>
      <c r="C1835" s="7" t="str">
        <f t="shared" si="99"/>
        <v>062</v>
      </c>
      <c r="D1835" s="7" t="str">
        <f>"03"</f>
        <v>03</v>
      </c>
      <c r="E1835" s="8">
        <v>60.2</v>
      </c>
      <c r="F1835" s="7" t="s">
        <v>7</v>
      </c>
    </row>
    <row r="1836" s="2" customFormat="1" ht="14.1" customHeight="1" spans="1:6">
      <c r="A1836" s="7" t="str">
        <f>"2102706204"</f>
        <v>2102706204</v>
      </c>
      <c r="B1836" s="7" t="str">
        <f t="shared" si="100"/>
        <v>2021027</v>
      </c>
      <c r="C1836" s="7" t="str">
        <f t="shared" si="99"/>
        <v>062</v>
      </c>
      <c r="D1836" s="7" t="str">
        <f>"04"</f>
        <v>04</v>
      </c>
      <c r="E1836" s="8">
        <v>64.9</v>
      </c>
      <c r="F1836" s="7" t="s">
        <v>7</v>
      </c>
    </row>
    <row r="1837" s="2" customFormat="1" ht="14.1" customHeight="1" spans="1:6">
      <c r="A1837" s="7" t="str">
        <f>"2102706205"</f>
        <v>2102706205</v>
      </c>
      <c r="B1837" s="7" t="str">
        <f t="shared" si="100"/>
        <v>2021027</v>
      </c>
      <c r="C1837" s="7" t="str">
        <f t="shared" si="99"/>
        <v>062</v>
      </c>
      <c r="D1837" s="7" t="str">
        <f>"05"</f>
        <v>05</v>
      </c>
      <c r="E1837" s="8">
        <v>0</v>
      </c>
      <c r="F1837" s="7" t="s">
        <v>8</v>
      </c>
    </row>
    <row r="1838" s="2" customFormat="1" ht="14.1" customHeight="1" spans="1:6">
      <c r="A1838" s="7" t="str">
        <f>"2102706206"</f>
        <v>2102706206</v>
      </c>
      <c r="B1838" s="7" t="str">
        <f t="shared" si="100"/>
        <v>2021027</v>
      </c>
      <c r="C1838" s="7" t="str">
        <f t="shared" si="99"/>
        <v>062</v>
      </c>
      <c r="D1838" s="7" t="str">
        <f>"06"</f>
        <v>06</v>
      </c>
      <c r="E1838" s="8">
        <v>47.2</v>
      </c>
      <c r="F1838" s="7" t="s">
        <v>7</v>
      </c>
    </row>
    <row r="1839" s="2" customFormat="1" ht="14.1" customHeight="1" spans="1:6">
      <c r="A1839" s="7" t="str">
        <f>"2102706207"</f>
        <v>2102706207</v>
      </c>
      <c r="B1839" s="7" t="str">
        <f t="shared" si="100"/>
        <v>2021027</v>
      </c>
      <c r="C1839" s="7" t="str">
        <f t="shared" si="99"/>
        <v>062</v>
      </c>
      <c r="D1839" s="7" t="str">
        <f>"07"</f>
        <v>07</v>
      </c>
      <c r="E1839" s="8">
        <v>65.3</v>
      </c>
      <c r="F1839" s="7" t="s">
        <v>7</v>
      </c>
    </row>
    <row r="1840" s="2" customFormat="1" ht="14.1" customHeight="1" spans="1:6">
      <c r="A1840" s="7" t="str">
        <f>"2102706208"</f>
        <v>2102706208</v>
      </c>
      <c r="B1840" s="7" t="str">
        <f t="shared" si="100"/>
        <v>2021027</v>
      </c>
      <c r="C1840" s="7" t="str">
        <f t="shared" si="99"/>
        <v>062</v>
      </c>
      <c r="D1840" s="7" t="str">
        <f>"08"</f>
        <v>08</v>
      </c>
      <c r="E1840" s="8">
        <v>0</v>
      </c>
      <c r="F1840" s="7" t="s">
        <v>8</v>
      </c>
    </row>
    <row r="1841" s="2" customFormat="1" ht="14.1" customHeight="1" spans="1:6">
      <c r="A1841" s="7" t="str">
        <f>"2102706209"</f>
        <v>2102706209</v>
      </c>
      <c r="B1841" s="7" t="str">
        <f t="shared" si="100"/>
        <v>2021027</v>
      </c>
      <c r="C1841" s="7" t="str">
        <f t="shared" si="99"/>
        <v>062</v>
      </c>
      <c r="D1841" s="7" t="str">
        <f>"09"</f>
        <v>09</v>
      </c>
      <c r="E1841" s="8">
        <v>55.3</v>
      </c>
      <c r="F1841" s="7" t="s">
        <v>7</v>
      </c>
    </row>
    <row r="1842" s="2" customFormat="1" ht="14.1" customHeight="1" spans="1:6">
      <c r="A1842" s="7" t="str">
        <f>"2102706210"</f>
        <v>2102706210</v>
      </c>
      <c r="B1842" s="7" t="str">
        <f t="shared" si="100"/>
        <v>2021027</v>
      </c>
      <c r="C1842" s="7" t="str">
        <f t="shared" si="99"/>
        <v>062</v>
      </c>
      <c r="D1842" s="7" t="str">
        <f>"10"</f>
        <v>10</v>
      </c>
      <c r="E1842" s="8">
        <v>56.6</v>
      </c>
      <c r="F1842" s="7" t="s">
        <v>7</v>
      </c>
    </row>
    <row r="1843" s="2" customFormat="1" ht="14.1" customHeight="1" spans="1:6">
      <c r="A1843" s="7" t="str">
        <f>"2102706211"</f>
        <v>2102706211</v>
      </c>
      <c r="B1843" s="7" t="str">
        <f t="shared" si="100"/>
        <v>2021027</v>
      </c>
      <c r="C1843" s="7" t="str">
        <f t="shared" si="99"/>
        <v>062</v>
      </c>
      <c r="D1843" s="7" t="str">
        <f>"11"</f>
        <v>11</v>
      </c>
      <c r="E1843" s="8">
        <v>0</v>
      </c>
      <c r="F1843" s="7" t="s">
        <v>8</v>
      </c>
    </row>
    <row r="1844" s="2" customFormat="1" ht="14.1" customHeight="1" spans="1:6">
      <c r="A1844" s="7" t="str">
        <f>"2102706212"</f>
        <v>2102706212</v>
      </c>
      <c r="B1844" s="7" t="str">
        <f t="shared" si="100"/>
        <v>2021027</v>
      </c>
      <c r="C1844" s="7" t="str">
        <f t="shared" si="99"/>
        <v>062</v>
      </c>
      <c r="D1844" s="7" t="str">
        <f>"12"</f>
        <v>12</v>
      </c>
      <c r="E1844" s="8">
        <v>69.6</v>
      </c>
      <c r="F1844" s="7" t="s">
        <v>7</v>
      </c>
    </row>
    <row r="1845" s="2" customFormat="1" ht="14.1" customHeight="1" spans="1:6">
      <c r="A1845" s="7" t="str">
        <f>"2102706213"</f>
        <v>2102706213</v>
      </c>
      <c r="B1845" s="7" t="str">
        <f t="shared" si="100"/>
        <v>2021027</v>
      </c>
      <c r="C1845" s="7" t="str">
        <f t="shared" si="99"/>
        <v>062</v>
      </c>
      <c r="D1845" s="7" t="str">
        <f>"13"</f>
        <v>13</v>
      </c>
      <c r="E1845" s="8">
        <v>0</v>
      </c>
      <c r="F1845" s="7" t="s">
        <v>8</v>
      </c>
    </row>
    <row r="1846" s="2" customFormat="1" ht="14.1" customHeight="1" spans="1:6">
      <c r="A1846" s="7" t="str">
        <f>"2102706214"</f>
        <v>2102706214</v>
      </c>
      <c r="B1846" s="7" t="str">
        <f t="shared" si="100"/>
        <v>2021027</v>
      </c>
      <c r="C1846" s="7" t="str">
        <f t="shared" si="99"/>
        <v>062</v>
      </c>
      <c r="D1846" s="7" t="str">
        <f>"14"</f>
        <v>14</v>
      </c>
      <c r="E1846" s="8">
        <v>0</v>
      </c>
      <c r="F1846" s="7" t="s">
        <v>8</v>
      </c>
    </row>
    <row r="1847" s="2" customFormat="1" ht="14.1" customHeight="1" spans="1:6">
      <c r="A1847" s="7" t="str">
        <f>"2102706215"</f>
        <v>2102706215</v>
      </c>
      <c r="B1847" s="7" t="str">
        <f t="shared" si="100"/>
        <v>2021027</v>
      </c>
      <c r="C1847" s="7" t="str">
        <f t="shared" si="99"/>
        <v>062</v>
      </c>
      <c r="D1847" s="7" t="str">
        <f>"15"</f>
        <v>15</v>
      </c>
      <c r="E1847" s="8">
        <v>0</v>
      </c>
      <c r="F1847" s="7" t="s">
        <v>8</v>
      </c>
    </row>
    <row r="1848" s="2" customFormat="1" ht="14.1" customHeight="1" spans="1:6">
      <c r="A1848" s="7" t="str">
        <f>"2102706216"</f>
        <v>2102706216</v>
      </c>
      <c r="B1848" s="7" t="str">
        <f t="shared" si="100"/>
        <v>2021027</v>
      </c>
      <c r="C1848" s="7" t="str">
        <f t="shared" si="99"/>
        <v>062</v>
      </c>
      <c r="D1848" s="7" t="str">
        <f>"16"</f>
        <v>16</v>
      </c>
      <c r="E1848" s="8">
        <v>72.5</v>
      </c>
      <c r="F1848" s="7" t="s">
        <v>7</v>
      </c>
    </row>
    <row r="1849" s="2" customFormat="1" ht="14.1" customHeight="1" spans="1:6">
      <c r="A1849" s="7" t="str">
        <f>"2102706217"</f>
        <v>2102706217</v>
      </c>
      <c r="B1849" s="7" t="str">
        <f t="shared" si="100"/>
        <v>2021027</v>
      </c>
      <c r="C1849" s="7" t="str">
        <f t="shared" si="99"/>
        <v>062</v>
      </c>
      <c r="D1849" s="7" t="str">
        <f>"17"</f>
        <v>17</v>
      </c>
      <c r="E1849" s="8">
        <v>71.8</v>
      </c>
      <c r="F1849" s="7" t="s">
        <v>7</v>
      </c>
    </row>
    <row r="1850" s="2" customFormat="1" ht="14.1" customHeight="1" spans="1:6">
      <c r="A1850" s="7" t="str">
        <f>"2102706218"</f>
        <v>2102706218</v>
      </c>
      <c r="B1850" s="7" t="str">
        <f t="shared" si="100"/>
        <v>2021027</v>
      </c>
      <c r="C1850" s="7" t="str">
        <f t="shared" si="99"/>
        <v>062</v>
      </c>
      <c r="D1850" s="7" t="str">
        <f>"18"</f>
        <v>18</v>
      </c>
      <c r="E1850" s="8">
        <v>0</v>
      </c>
      <c r="F1850" s="7" t="s">
        <v>8</v>
      </c>
    </row>
    <row r="1851" s="2" customFormat="1" ht="14.1" customHeight="1" spans="1:6">
      <c r="A1851" s="7" t="str">
        <f>"2102706219"</f>
        <v>2102706219</v>
      </c>
      <c r="B1851" s="7" t="str">
        <f t="shared" si="100"/>
        <v>2021027</v>
      </c>
      <c r="C1851" s="7" t="str">
        <f t="shared" si="99"/>
        <v>062</v>
      </c>
      <c r="D1851" s="7" t="str">
        <f>"19"</f>
        <v>19</v>
      </c>
      <c r="E1851" s="8">
        <v>0</v>
      </c>
      <c r="F1851" s="7" t="s">
        <v>8</v>
      </c>
    </row>
    <row r="1852" s="2" customFormat="1" ht="14.1" customHeight="1" spans="1:6">
      <c r="A1852" s="7" t="str">
        <f>"2102706220"</f>
        <v>2102706220</v>
      </c>
      <c r="B1852" s="7" t="str">
        <f t="shared" si="100"/>
        <v>2021027</v>
      </c>
      <c r="C1852" s="7" t="str">
        <f t="shared" si="99"/>
        <v>062</v>
      </c>
      <c r="D1852" s="7" t="str">
        <f>"20"</f>
        <v>20</v>
      </c>
      <c r="E1852" s="8">
        <v>30.4</v>
      </c>
      <c r="F1852" s="7" t="s">
        <v>7</v>
      </c>
    </row>
    <row r="1853" s="2" customFormat="1" ht="14.1" customHeight="1" spans="1:6">
      <c r="A1853" s="7" t="str">
        <f>"2102706221"</f>
        <v>2102706221</v>
      </c>
      <c r="B1853" s="7" t="str">
        <f t="shared" si="100"/>
        <v>2021027</v>
      </c>
      <c r="C1853" s="7" t="str">
        <f t="shared" si="99"/>
        <v>062</v>
      </c>
      <c r="D1853" s="7" t="str">
        <f>"21"</f>
        <v>21</v>
      </c>
      <c r="E1853" s="8">
        <v>0</v>
      </c>
      <c r="F1853" s="7" t="s">
        <v>8</v>
      </c>
    </row>
    <row r="1854" s="2" customFormat="1" ht="14.1" customHeight="1" spans="1:6">
      <c r="A1854" s="7" t="str">
        <f>"2102706222"</f>
        <v>2102706222</v>
      </c>
      <c r="B1854" s="7" t="str">
        <f t="shared" si="100"/>
        <v>2021027</v>
      </c>
      <c r="C1854" s="7" t="str">
        <f t="shared" si="99"/>
        <v>062</v>
      </c>
      <c r="D1854" s="7" t="str">
        <f>"22"</f>
        <v>22</v>
      </c>
      <c r="E1854" s="8">
        <v>65.3</v>
      </c>
      <c r="F1854" s="7" t="s">
        <v>7</v>
      </c>
    </row>
    <row r="1855" s="2" customFormat="1" ht="14.1" customHeight="1" spans="1:6">
      <c r="A1855" s="7" t="str">
        <f>"2102706223"</f>
        <v>2102706223</v>
      </c>
      <c r="B1855" s="7" t="str">
        <f t="shared" si="100"/>
        <v>2021027</v>
      </c>
      <c r="C1855" s="7" t="str">
        <f t="shared" si="99"/>
        <v>062</v>
      </c>
      <c r="D1855" s="7" t="str">
        <f>"23"</f>
        <v>23</v>
      </c>
      <c r="E1855" s="8">
        <v>54.8</v>
      </c>
      <c r="F1855" s="7" t="s">
        <v>7</v>
      </c>
    </row>
    <row r="1856" s="2" customFormat="1" ht="14.1" customHeight="1" spans="1:6">
      <c r="A1856" s="7" t="str">
        <f>"2102706224"</f>
        <v>2102706224</v>
      </c>
      <c r="B1856" s="7" t="str">
        <f t="shared" si="100"/>
        <v>2021027</v>
      </c>
      <c r="C1856" s="7" t="str">
        <f t="shared" si="99"/>
        <v>062</v>
      </c>
      <c r="D1856" s="7" t="str">
        <f>"24"</f>
        <v>24</v>
      </c>
      <c r="E1856" s="8">
        <v>69</v>
      </c>
      <c r="F1856" s="7" t="s">
        <v>7</v>
      </c>
    </row>
    <row r="1857" s="2" customFormat="1" ht="14.1" customHeight="1" spans="1:6">
      <c r="A1857" s="7" t="str">
        <f>"2102706225"</f>
        <v>2102706225</v>
      </c>
      <c r="B1857" s="7" t="str">
        <f t="shared" si="100"/>
        <v>2021027</v>
      </c>
      <c r="C1857" s="7" t="str">
        <f t="shared" si="99"/>
        <v>062</v>
      </c>
      <c r="D1857" s="7" t="str">
        <f>"25"</f>
        <v>25</v>
      </c>
      <c r="E1857" s="8">
        <v>65.4</v>
      </c>
      <c r="F1857" s="7" t="s">
        <v>7</v>
      </c>
    </row>
    <row r="1858" s="2" customFormat="1" ht="14.1" customHeight="1" spans="1:6">
      <c r="A1858" s="7" t="str">
        <f>"2102706226"</f>
        <v>2102706226</v>
      </c>
      <c r="B1858" s="7" t="str">
        <f t="shared" si="100"/>
        <v>2021027</v>
      </c>
      <c r="C1858" s="7" t="str">
        <f t="shared" si="99"/>
        <v>062</v>
      </c>
      <c r="D1858" s="7" t="str">
        <f>"26"</f>
        <v>26</v>
      </c>
      <c r="E1858" s="8">
        <v>54.2</v>
      </c>
      <c r="F1858" s="7" t="s">
        <v>7</v>
      </c>
    </row>
    <row r="1859" s="2" customFormat="1" ht="14.1" customHeight="1" spans="1:6">
      <c r="A1859" s="7" t="str">
        <f>"2102706227"</f>
        <v>2102706227</v>
      </c>
      <c r="B1859" s="7" t="str">
        <f t="shared" si="100"/>
        <v>2021027</v>
      </c>
      <c r="C1859" s="7" t="str">
        <f t="shared" si="99"/>
        <v>062</v>
      </c>
      <c r="D1859" s="7" t="str">
        <f>"27"</f>
        <v>27</v>
      </c>
      <c r="E1859" s="8">
        <v>66.8</v>
      </c>
      <c r="F1859" s="7" t="s">
        <v>7</v>
      </c>
    </row>
    <row r="1860" s="2" customFormat="1" ht="14.1" customHeight="1" spans="1:6">
      <c r="A1860" s="7" t="str">
        <f>"2102706228"</f>
        <v>2102706228</v>
      </c>
      <c r="B1860" s="7" t="str">
        <f t="shared" si="100"/>
        <v>2021027</v>
      </c>
      <c r="C1860" s="7" t="str">
        <f t="shared" si="99"/>
        <v>062</v>
      </c>
      <c r="D1860" s="7" t="str">
        <f>"28"</f>
        <v>28</v>
      </c>
      <c r="E1860" s="8">
        <v>0</v>
      </c>
      <c r="F1860" s="7" t="s">
        <v>8</v>
      </c>
    </row>
    <row r="1861" s="2" customFormat="1" ht="14.1" customHeight="1" spans="1:6">
      <c r="A1861" s="7" t="str">
        <f>"2102706229"</f>
        <v>2102706229</v>
      </c>
      <c r="B1861" s="7" t="str">
        <f t="shared" si="100"/>
        <v>2021027</v>
      </c>
      <c r="C1861" s="7" t="str">
        <f t="shared" si="99"/>
        <v>062</v>
      </c>
      <c r="D1861" s="7" t="str">
        <f>"29"</f>
        <v>29</v>
      </c>
      <c r="E1861" s="8">
        <v>0</v>
      </c>
      <c r="F1861" s="7" t="s">
        <v>8</v>
      </c>
    </row>
    <row r="1862" s="2" customFormat="1" ht="14.1" customHeight="1" spans="1:6">
      <c r="A1862" s="7" t="str">
        <f>"2102706230"</f>
        <v>2102706230</v>
      </c>
      <c r="B1862" s="7" t="str">
        <f t="shared" si="100"/>
        <v>2021027</v>
      </c>
      <c r="C1862" s="7" t="str">
        <f t="shared" si="99"/>
        <v>062</v>
      </c>
      <c r="D1862" s="7" t="str">
        <f>"30"</f>
        <v>30</v>
      </c>
      <c r="E1862" s="8">
        <v>50.6</v>
      </c>
      <c r="F1862" s="7" t="s">
        <v>7</v>
      </c>
    </row>
    <row r="1863" s="2" customFormat="1" ht="14.1" customHeight="1" spans="1:6">
      <c r="A1863" s="7" t="str">
        <f>"2102706301"</f>
        <v>2102706301</v>
      </c>
      <c r="B1863" s="7" t="str">
        <f t="shared" si="100"/>
        <v>2021027</v>
      </c>
      <c r="C1863" s="7" t="str">
        <f t="shared" ref="C1863:C1892" si="101">"063"</f>
        <v>063</v>
      </c>
      <c r="D1863" s="7" t="str">
        <f>"01"</f>
        <v>01</v>
      </c>
      <c r="E1863" s="8">
        <v>61.8</v>
      </c>
      <c r="F1863" s="7" t="s">
        <v>7</v>
      </c>
    </row>
    <row r="1864" s="2" customFormat="1" ht="14.1" customHeight="1" spans="1:6">
      <c r="A1864" s="7" t="str">
        <f>"2102706302"</f>
        <v>2102706302</v>
      </c>
      <c r="B1864" s="7" t="str">
        <f t="shared" si="100"/>
        <v>2021027</v>
      </c>
      <c r="C1864" s="7" t="str">
        <f t="shared" si="101"/>
        <v>063</v>
      </c>
      <c r="D1864" s="7" t="str">
        <f>"02"</f>
        <v>02</v>
      </c>
      <c r="E1864" s="8">
        <v>0</v>
      </c>
      <c r="F1864" s="7" t="s">
        <v>8</v>
      </c>
    </row>
    <row r="1865" s="2" customFormat="1" ht="14.1" customHeight="1" spans="1:6">
      <c r="A1865" s="7" t="str">
        <f>"2102706303"</f>
        <v>2102706303</v>
      </c>
      <c r="B1865" s="7" t="str">
        <f t="shared" si="100"/>
        <v>2021027</v>
      </c>
      <c r="C1865" s="7" t="str">
        <f t="shared" si="101"/>
        <v>063</v>
      </c>
      <c r="D1865" s="7" t="str">
        <f>"03"</f>
        <v>03</v>
      </c>
      <c r="E1865" s="8">
        <v>0</v>
      </c>
      <c r="F1865" s="7" t="s">
        <v>8</v>
      </c>
    </row>
    <row r="1866" s="2" customFormat="1" ht="14.1" customHeight="1" spans="1:6">
      <c r="A1866" s="7" t="str">
        <f>"2102706304"</f>
        <v>2102706304</v>
      </c>
      <c r="B1866" s="7" t="str">
        <f t="shared" si="100"/>
        <v>2021027</v>
      </c>
      <c r="C1866" s="7" t="str">
        <f t="shared" si="101"/>
        <v>063</v>
      </c>
      <c r="D1866" s="7" t="str">
        <f>"04"</f>
        <v>04</v>
      </c>
      <c r="E1866" s="8">
        <v>67.2</v>
      </c>
      <c r="F1866" s="7" t="s">
        <v>7</v>
      </c>
    </row>
    <row r="1867" s="2" customFormat="1" ht="14.1" customHeight="1" spans="1:6">
      <c r="A1867" s="7" t="str">
        <f>"2102706305"</f>
        <v>2102706305</v>
      </c>
      <c r="B1867" s="7" t="str">
        <f t="shared" si="100"/>
        <v>2021027</v>
      </c>
      <c r="C1867" s="7" t="str">
        <f t="shared" si="101"/>
        <v>063</v>
      </c>
      <c r="D1867" s="7" t="str">
        <f>"05"</f>
        <v>05</v>
      </c>
      <c r="E1867" s="8">
        <v>53.1</v>
      </c>
      <c r="F1867" s="7" t="s">
        <v>7</v>
      </c>
    </row>
    <row r="1868" s="2" customFormat="1" ht="14.1" customHeight="1" spans="1:6">
      <c r="A1868" s="7" t="str">
        <f>"2102706306"</f>
        <v>2102706306</v>
      </c>
      <c r="B1868" s="7" t="str">
        <f t="shared" si="100"/>
        <v>2021027</v>
      </c>
      <c r="C1868" s="7" t="str">
        <f t="shared" si="101"/>
        <v>063</v>
      </c>
      <c r="D1868" s="7" t="str">
        <f>"06"</f>
        <v>06</v>
      </c>
      <c r="E1868" s="8">
        <v>64.5</v>
      </c>
      <c r="F1868" s="7" t="s">
        <v>7</v>
      </c>
    </row>
    <row r="1869" s="2" customFormat="1" ht="14.1" customHeight="1" spans="1:6">
      <c r="A1869" s="7" t="str">
        <f>"2102706307"</f>
        <v>2102706307</v>
      </c>
      <c r="B1869" s="7" t="str">
        <f t="shared" si="100"/>
        <v>2021027</v>
      </c>
      <c r="C1869" s="7" t="str">
        <f t="shared" si="101"/>
        <v>063</v>
      </c>
      <c r="D1869" s="7" t="str">
        <f>"07"</f>
        <v>07</v>
      </c>
      <c r="E1869" s="8">
        <v>0</v>
      </c>
      <c r="F1869" s="7" t="s">
        <v>8</v>
      </c>
    </row>
    <row r="1870" s="2" customFormat="1" ht="14.1" customHeight="1" spans="1:6">
      <c r="A1870" s="7" t="str">
        <f>"2102706308"</f>
        <v>2102706308</v>
      </c>
      <c r="B1870" s="7" t="str">
        <f t="shared" si="100"/>
        <v>2021027</v>
      </c>
      <c r="C1870" s="7" t="str">
        <f t="shared" si="101"/>
        <v>063</v>
      </c>
      <c r="D1870" s="7" t="str">
        <f>"08"</f>
        <v>08</v>
      </c>
      <c r="E1870" s="8">
        <v>57</v>
      </c>
      <c r="F1870" s="7" t="s">
        <v>7</v>
      </c>
    </row>
    <row r="1871" s="2" customFormat="1" ht="14.1" customHeight="1" spans="1:6">
      <c r="A1871" s="7" t="str">
        <f>"2102706309"</f>
        <v>2102706309</v>
      </c>
      <c r="B1871" s="7" t="str">
        <f t="shared" si="100"/>
        <v>2021027</v>
      </c>
      <c r="C1871" s="7" t="str">
        <f t="shared" si="101"/>
        <v>063</v>
      </c>
      <c r="D1871" s="7" t="str">
        <f>"09"</f>
        <v>09</v>
      </c>
      <c r="E1871" s="8">
        <v>0</v>
      </c>
      <c r="F1871" s="7" t="s">
        <v>8</v>
      </c>
    </row>
    <row r="1872" s="2" customFormat="1" ht="14.1" customHeight="1" spans="1:6">
      <c r="A1872" s="7" t="str">
        <f>"2102706310"</f>
        <v>2102706310</v>
      </c>
      <c r="B1872" s="7" t="str">
        <f t="shared" si="100"/>
        <v>2021027</v>
      </c>
      <c r="C1872" s="7" t="str">
        <f t="shared" si="101"/>
        <v>063</v>
      </c>
      <c r="D1872" s="7" t="str">
        <f>"10"</f>
        <v>10</v>
      </c>
      <c r="E1872" s="8">
        <v>0</v>
      </c>
      <c r="F1872" s="7" t="s">
        <v>8</v>
      </c>
    </row>
    <row r="1873" s="2" customFormat="1" ht="14.1" customHeight="1" spans="1:6">
      <c r="A1873" s="7" t="str">
        <f>"2102706311"</f>
        <v>2102706311</v>
      </c>
      <c r="B1873" s="7" t="str">
        <f t="shared" si="100"/>
        <v>2021027</v>
      </c>
      <c r="C1873" s="7" t="str">
        <f t="shared" si="101"/>
        <v>063</v>
      </c>
      <c r="D1873" s="7" t="str">
        <f>"11"</f>
        <v>11</v>
      </c>
      <c r="E1873" s="8">
        <v>0</v>
      </c>
      <c r="F1873" s="7" t="s">
        <v>8</v>
      </c>
    </row>
    <row r="1874" s="2" customFormat="1" ht="14.1" customHeight="1" spans="1:6">
      <c r="A1874" s="7" t="str">
        <f>"2102706312"</f>
        <v>2102706312</v>
      </c>
      <c r="B1874" s="7" t="str">
        <f t="shared" si="100"/>
        <v>2021027</v>
      </c>
      <c r="C1874" s="7" t="str">
        <f t="shared" si="101"/>
        <v>063</v>
      </c>
      <c r="D1874" s="7" t="str">
        <f>"12"</f>
        <v>12</v>
      </c>
      <c r="E1874" s="8">
        <v>55.4</v>
      </c>
      <c r="F1874" s="7" t="s">
        <v>7</v>
      </c>
    </row>
    <row r="1875" s="2" customFormat="1" ht="14.1" customHeight="1" spans="1:6">
      <c r="A1875" s="7" t="str">
        <f>"2102706313"</f>
        <v>2102706313</v>
      </c>
      <c r="B1875" s="7" t="str">
        <f t="shared" si="100"/>
        <v>2021027</v>
      </c>
      <c r="C1875" s="7" t="str">
        <f t="shared" si="101"/>
        <v>063</v>
      </c>
      <c r="D1875" s="7" t="str">
        <f>"13"</f>
        <v>13</v>
      </c>
      <c r="E1875" s="8">
        <v>0</v>
      </c>
      <c r="F1875" s="7" t="s">
        <v>8</v>
      </c>
    </row>
    <row r="1876" s="2" customFormat="1" ht="14.1" customHeight="1" spans="1:6">
      <c r="A1876" s="7" t="str">
        <f>"2102706314"</f>
        <v>2102706314</v>
      </c>
      <c r="B1876" s="7" t="str">
        <f t="shared" si="100"/>
        <v>2021027</v>
      </c>
      <c r="C1876" s="7" t="str">
        <f t="shared" si="101"/>
        <v>063</v>
      </c>
      <c r="D1876" s="7" t="str">
        <f>"14"</f>
        <v>14</v>
      </c>
      <c r="E1876" s="8">
        <v>60.3</v>
      </c>
      <c r="F1876" s="7" t="s">
        <v>7</v>
      </c>
    </row>
    <row r="1877" s="2" customFormat="1" ht="14.1" customHeight="1" spans="1:6">
      <c r="A1877" s="7" t="str">
        <f>"2102706315"</f>
        <v>2102706315</v>
      </c>
      <c r="B1877" s="7" t="str">
        <f t="shared" si="100"/>
        <v>2021027</v>
      </c>
      <c r="C1877" s="7" t="str">
        <f t="shared" si="101"/>
        <v>063</v>
      </c>
      <c r="D1877" s="7" t="str">
        <f>"15"</f>
        <v>15</v>
      </c>
      <c r="E1877" s="8">
        <v>63.6</v>
      </c>
      <c r="F1877" s="7" t="s">
        <v>7</v>
      </c>
    </row>
    <row r="1878" s="2" customFormat="1" ht="14.1" customHeight="1" spans="1:6">
      <c r="A1878" s="7" t="str">
        <f>"2102706316"</f>
        <v>2102706316</v>
      </c>
      <c r="B1878" s="7" t="str">
        <f t="shared" si="100"/>
        <v>2021027</v>
      </c>
      <c r="C1878" s="7" t="str">
        <f t="shared" si="101"/>
        <v>063</v>
      </c>
      <c r="D1878" s="7" t="str">
        <f>"16"</f>
        <v>16</v>
      </c>
      <c r="E1878" s="8">
        <v>57.4</v>
      </c>
      <c r="F1878" s="7" t="s">
        <v>7</v>
      </c>
    </row>
    <row r="1879" s="2" customFormat="1" ht="14.1" customHeight="1" spans="1:6">
      <c r="A1879" s="7" t="str">
        <f>"2102706317"</f>
        <v>2102706317</v>
      </c>
      <c r="B1879" s="7" t="str">
        <f t="shared" si="100"/>
        <v>2021027</v>
      </c>
      <c r="C1879" s="7" t="str">
        <f t="shared" si="101"/>
        <v>063</v>
      </c>
      <c r="D1879" s="7" t="str">
        <f>"17"</f>
        <v>17</v>
      </c>
      <c r="E1879" s="8">
        <v>0</v>
      </c>
      <c r="F1879" s="7" t="s">
        <v>8</v>
      </c>
    </row>
    <row r="1880" s="2" customFormat="1" ht="14.1" customHeight="1" spans="1:6">
      <c r="A1880" s="7" t="str">
        <f>"2102706318"</f>
        <v>2102706318</v>
      </c>
      <c r="B1880" s="7" t="str">
        <f t="shared" si="100"/>
        <v>2021027</v>
      </c>
      <c r="C1880" s="7" t="str">
        <f t="shared" si="101"/>
        <v>063</v>
      </c>
      <c r="D1880" s="7" t="str">
        <f>"18"</f>
        <v>18</v>
      </c>
      <c r="E1880" s="8">
        <v>0</v>
      </c>
      <c r="F1880" s="7" t="s">
        <v>8</v>
      </c>
    </row>
    <row r="1881" s="2" customFormat="1" ht="14.1" customHeight="1" spans="1:6">
      <c r="A1881" s="7" t="str">
        <f>"2102706319"</f>
        <v>2102706319</v>
      </c>
      <c r="B1881" s="7" t="str">
        <f t="shared" si="100"/>
        <v>2021027</v>
      </c>
      <c r="C1881" s="7" t="str">
        <f t="shared" si="101"/>
        <v>063</v>
      </c>
      <c r="D1881" s="7" t="str">
        <f>"19"</f>
        <v>19</v>
      </c>
      <c r="E1881" s="8">
        <v>0</v>
      </c>
      <c r="F1881" s="7" t="s">
        <v>8</v>
      </c>
    </row>
    <row r="1882" s="2" customFormat="1" ht="14.1" customHeight="1" spans="1:6">
      <c r="A1882" s="7" t="str">
        <f>"2102706320"</f>
        <v>2102706320</v>
      </c>
      <c r="B1882" s="7" t="str">
        <f t="shared" si="100"/>
        <v>2021027</v>
      </c>
      <c r="C1882" s="7" t="str">
        <f t="shared" si="101"/>
        <v>063</v>
      </c>
      <c r="D1882" s="7" t="str">
        <f>"20"</f>
        <v>20</v>
      </c>
      <c r="E1882" s="8">
        <v>70.3</v>
      </c>
      <c r="F1882" s="7" t="s">
        <v>7</v>
      </c>
    </row>
    <row r="1883" s="2" customFormat="1" ht="14.1" customHeight="1" spans="1:6">
      <c r="A1883" s="7" t="str">
        <f>"2102706321"</f>
        <v>2102706321</v>
      </c>
      <c r="B1883" s="7" t="str">
        <f t="shared" si="100"/>
        <v>2021027</v>
      </c>
      <c r="C1883" s="7" t="str">
        <f t="shared" si="101"/>
        <v>063</v>
      </c>
      <c r="D1883" s="7" t="str">
        <f>"21"</f>
        <v>21</v>
      </c>
      <c r="E1883" s="8">
        <v>0</v>
      </c>
      <c r="F1883" s="7" t="s">
        <v>8</v>
      </c>
    </row>
    <row r="1884" s="2" customFormat="1" ht="14.1" customHeight="1" spans="1:6">
      <c r="A1884" s="7" t="str">
        <f>"2102706322"</f>
        <v>2102706322</v>
      </c>
      <c r="B1884" s="7" t="str">
        <f t="shared" si="100"/>
        <v>2021027</v>
      </c>
      <c r="C1884" s="7" t="str">
        <f t="shared" si="101"/>
        <v>063</v>
      </c>
      <c r="D1884" s="7" t="str">
        <f>"22"</f>
        <v>22</v>
      </c>
      <c r="E1884" s="8">
        <v>65.8</v>
      </c>
      <c r="F1884" s="7" t="s">
        <v>7</v>
      </c>
    </row>
    <row r="1885" s="2" customFormat="1" ht="14.1" customHeight="1" spans="1:6">
      <c r="A1885" s="7" t="str">
        <f>"2102706323"</f>
        <v>2102706323</v>
      </c>
      <c r="B1885" s="7" t="str">
        <f t="shared" si="100"/>
        <v>2021027</v>
      </c>
      <c r="C1885" s="7" t="str">
        <f t="shared" si="101"/>
        <v>063</v>
      </c>
      <c r="D1885" s="7" t="str">
        <f>"23"</f>
        <v>23</v>
      </c>
      <c r="E1885" s="8">
        <v>56.7</v>
      </c>
      <c r="F1885" s="7" t="s">
        <v>7</v>
      </c>
    </row>
    <row r="1886" s="2" customFormat="1" ht="14.1" customHeight="1" spans="1:6">
      <c r="A1886" s="7" t="str">
        <f>"2102706324"</f>
        <v>2102706324</v>
      </c>
      <c r="B1886" s="7" t="str">
        <f t="shared" si="100"/>
        <v>2021027</v>
      </c>
      <c r="C1886" s="7" t="str">
        <f t="shared" si="101"/>
        <v>063</v>
      </c>
      <c r="D1886" s="7" t="str">
        <f>"24"</f>
        <v>24</v>
      </c>
      <c r="E1886" s="8">
        <v>64.3</v>
      </c>
      <c r="F1886" s="7" t="s">
        <v>7</v>
      </c>
    </row>
    <row r="1887" s="2" customFormat="1" ht="14.1" customHeight="1" spans="1:6">
      <c r="A1887" s="7" t="str">
        <f>"2102706325"</f>
        <v>2102706325</v>
      </c>
      <c r="B1887" s="7" t="str">
        <f t="shared" si="100"/>
        <v>2021027</v>
      </c>
      <c r="C1887" s="7" t="str">
        <f t="shared" si="101"/>
        <v>063</v>
      </c>
      <c r="D1887" s="7" t="str">
        <f>"25"</f>
        <v>25</v>
      </c>
      <c r="E1887" s="8">
        <v>60.4</v>
      </c>
      <c r="F1887" s="7" t="s">
        <v>7</v>
      </c>
    </row>
    <row r="1888" s="2" customFormat="1" ht="14.1" customHeight="1" spans="1:6">
      <c r="A1888" s="7" t="str">
        <f>"2102706326"</f>
        <v>2102706326</v>
      </c>
      <c r="B1888" s="7" t="str">
        <f t="shared" si="100"/>
        <v>2021027</v>
      </c>
      <c r="C1888" s="7" t="str">
        <f t="shared" si="101"/>
        <v>063</v>
      </c>
      <c r="D1888" s="7" t="str">
        <f>"26"</f>
        <v>26</v>
      </c>
      <c r="E1888" s="8">
        <v>0</v>
      </c>
      <c r="F1888" s="7" t="s">
        <v>8</v>
      </c>
    </row>
    <row r="1889" s="2" customFormat="1" ht="14.1" customHeight="1" spans="1:6">
      <c r="A1889" s="7" t="str">
        <f>"2102706327"</f>
        <v>2102706327</v>
      </c>
      <c r="B1889" s="7" t="str">
        <f t="shared" si="100"/>
        <v>2021027</v>
      </c>
      <c r="C1889" s="7" t="str">
        <f t="shared" si="101"/>
        <v>063</v>
      </c>
      <c r="D1889" s="7" t="str">
        <f>"27"</f>
        <v>27</v>
      </c>
      <c r="E1889" s="8">
        <v>0</v>
      </c>
      <c r="F1889" s="7" t="s">
        <v>8</v>
      </c>
    </row>
    <row r="1890" s="2" customFormat="1" ht="14.1" customHeight="1" spans="1:6">
      <c r="A1890" s="7" t="str">
        <f>"2102706328"</f>
        <v>2102706328</v>
      </c>
      <c r="B1890" s="7" t="str">
        <f t="shared" si="100"/>
        <v>2021027</v>
      </c>
      <c r="C1890" s="7" t="str">
        <f t="shared" si="101"/>
        <v>063</v>
      </c>
      <c r="D1890" s="7" t="str">
        <f>"28"</f>
        <v>28</v>
      </c>
      <c r="E1890" s="8">
        <v>60.2</v>
      </c>
      <c r="F1890" s="7" t="s">
        <v>7</v>
      </c>
    </row>
    <row r="1891" s="2" customFormat="1" ht="14.1" customHeight="1" spans="1:6">
      <c r="A1891" s="7" t="str">
        <f>"2102706329"</f>
        <v>2102706329</v>
      </c>
      <c r="B1891" s="7" t="str">
        <f t="shared" si="100"/>
        <v>2021027</v>
      </c>
      <c r="C1891" s="7" t="str">
        <f t="shared" si="101"/>
        <v>063</v>
      </c>
      <c r="D1891" s="7" t="str">
        <f>"29"</f>
        <v>29</v>
      </c>
      <c r="E1891" s="8">
        <v>67.2</v>
      </c>
      <c r="F1891" s="7" t="s">
        <v>7</v>
      </c>
    </row>
    <row r="1892" s="2" customFormat="1" ht="14.1" customHeight="1" spans="1:6">
      <c r="A1892" s="7" t="str">
        <f>"2102706330"</f>
        <v>2102706330</v>
      </c>
      <c r="B1892" s="7" t="str">
        <f t="shared" si="100"/>
        <v>2021027</v>
      </c>
      <c r="C1892" s="7" t="str">
        <f t="shared" si="101"/>
        <v>063</v>
      </c>
      <c r="D1892" s="7" t="str">
        <f>"30"</f>
        <v>30</v>
      </c>
      <c r="E1892" s="8">
        <v>0</v>
      </c>
      <c r="F1892" s="7" t="s">
        <v>8</v>
      </c>
    </row>
    <row r="1893" s="2" customFormat="1" ht="14.1" customHeight="1" spans="1:6">
      <c r="A1893" s="7" t="str">
        <f>"2102706401"</f>
        <v>2102706401</v>
      </c>
      <c r="B1893" s="7" t="str">
        <f t="shared" si="100"/>
        <v>2021027</v>
      </c>
      <c r="C1893" s="7" t="str">
        <f t="shared" ref="C1893:C1922" si="102">"064"</f>
        <v>064</v>
      </c>
      <c r="D1893" s="7" t="str">
        <f>"01"</f>
        <v>01</v>
      </c>
      <c r="E1893" s="8">
        <v>57.3</v>
      </c>
      <c r="F1893" s="7" t="s">
        <v>7</v>
      </c>
    </row>
    <row r="1894" s="2" customFormat="1" ht="14.1" customHeight="1" spans="1:6">
      <c r="A1894" s="7" t="str">
        <f>"2102706402"</f>
        <v>2102706402</v>
      </c>
      <c r="B1894" s="7" t="str">
        <f t="shared" si="100"/>
        <v>2021027</v>
      </c>
      <c r="C1894" s="7" t="str">
        <f t="shared" si="102"/>
        <v>064</v>
      </c>
      <c r="D1894" s="7" t="str">
        <f>"02"</f>
        <v>02</v>
      </c>
      <c r="E1894" s="8">
        <v>0</v>
      </c>
      <c r="F1894" s="7" t="s">
        <v>8</v>
      </c>
    </row>
    <row r="1895" s="2" customFormat="1" ht="14.1" customHeight="1" spans="1:6">
      <c r="A1895" s="7" t="str">
        <f>"2102706403"</f>
        <v>2102706403</v>
      </c>
      <c r="B1895" s="7" t="str">
        <f t="shared" si="100"/>
        <v>2021027</v>
      </c>
      <c r="C1895" s="7" t="str">
        <f t="shared" si="102"/>
        <v>064</v>
      </c>
      <c r="D1895" s="7" t="str">
        <f>"03"</f>
        <v>03</v>
      </c>
      <c r="E1895" s="8">
        <v>0</v>
      </c>
      <c r="F1895" s="7" t="s">
        <v>8</v>
      </c>
    </row>
    <row r="1896" s="2" customFormat="1" ht="14.1" customHeight="1" spans="1:6">
      <c r="A1896" s="7" t="str">
        <f>"2102706404"</f>
        <v>2102706404</v>
      </c>
      <c r="B1896" s="7" t="str">
        <f t="shared" si="100"/>
        <v>2021027</v>
      </c>
      <c r="C1896" s="7" t="str">
        <f t="shared" si="102"/>
        <v>064</v>
      </c>
      <c r="D1896" s="7" t="str">
        <f>"04"</f>
        <v>04</v>
      </c>
      <c r="E1896" s="8">
        <v>0</v>
      </c>
      <c r="F1896" s="7" t="s">
        <v>8</v>
      </c>
    </row>
    <row r="1897" s="2" customFormat="1" ht="14.1" customHeight="1" spans="1:6">
      <c r="A1897" s="7" t="str">
        <f>"2102706405"</f>
        <v>2102706405</v>
      </c>
      <c r="B1897" s="7" t="str">
        <f t="shared" si="100"/>
        <v>2021027</v>
      </c>
      <c r="C1897" s="7" t="str">
        <f t="shared" si="102"/>
        <v>064</v>
      </c>
      <c r="D1897" s="7" t="str">
        <f>"05"</f>
        <v>05</v>
      </c>
      <c r="E1897" s="8">
        <v>49.5</v>
      </c>
      <c r="F1897" s="7" t="s">
        <v>7</v>
      </c>
    </row>
    <row r="1898" s="2" customFormat="1" ht="14.1" customHeight="1" spans="1:6">
      <c r="A1898" s="7" t="str">
        <f>"2102706406"</f>
        <v>2102706406</v>
      </c>
      <c r="B1898" s="7" t="str">
        <f t="shared" ref="B1898:B1961" si="103">"2021027"</f>
        <v>2021027</v>
      </c>
      <c r="C1898" s="7" t="str">
        <f t="shared" si="102"/>
        <v>064</v>
      </c>
      <c r="D1898" s="7" t="str">
        <f>"06"</f>
        <v>06</v>
      </c>
      <c r="E1898" s="8">
        <v>0</v>
      </c>
      <c r="F1898" s="7" t="s">
        <v>8</v>
      </c>
    </row>
    <row r="1899" s="2" customFormat="1" ht="14.1" customHeight="1" spans="1:6">
      <c r="A1899" s="7" t="str">
        <f>"2102706407"</f>
        <v>2102706407</v>
      </c>
      <c r="B1899" s="7" t="str">
        <f t="shared" si="103"/>
        <v>2021027</v>
      </c>
      <c r="C1899" s="7" t="str">
        <f t="shared" si="102"/>
        <v>064</v>
      </c>
      <c r="D1899" s="7" t="str">
        <f>"07"</f>
        <v>07</v>
      </c>
      <c r="E1899" s="8">
        <v>69.5</v>
      </c>
      <c r="F1899" s="7" t="s">
        <v>7</v>
      </c>
    </row>
    <row r="1900" s="2" customFormat="1" ht="14.1" customHeight="1" spans="1:6">
      <c r="A1900" s="7" t="str">
        <f>"2102706408"</f>
        <v>2102706408</v>
      </c>
      <c r="B1900" s="7" t="str">
        <f t="shared" si="103"/>
        <v>2021027</v>
      </c>
      <c r="C1900" s="7" t="str">
        <f t="shared" si="102"/>
        <v>064</v>
      </c>
      <c r="D1900" s="7" t="str">
        <f>"08"</f>
        <v>08</v>
      </c>
      <c r="E1900" s="8">
        <v>68.6</v>
      </c>
      <c r="F1900" s="7" t="s">
        <v>7</v>
      </c>
    </row>
    <row r="1901" s="2" customFormat="1" ht="14.1" customHeight="1" spans="1:6">
      <c r="A1901" s="7" t="str">
        <f>"2102706409"</f>
        <v>2102706409</v>
      </c>
      <c r="B1901" s="7" t="str">
        <f t="shared" si="103"/>
        <v>2021027</v>
      </c>
      <c r="C1901" s="7" t="str">
        <f t="shared" si="102"/>
        <v>064</v>
      </c>
      <c r="D1901" s="7" t="str">
        <f>"09"</f>
        <v>09</v>
      </c>
      <c r="E1901" s="8">
        <v>71</v>
      </c>
      <c r="F1901" s="7" t="s">
        <v>7</v>
      </c>
    </row>
    <row r="1902" s="2" customFormat="1" ht="14.1" customHeight="1" spans="1:6">
      <c r="A1902" s="7" t="str">
        <f>"2102706410"</f>
        <v>2102706410</v>
      </c>
      <c r="B1902" s="7" t="str">
        <f t="shared" si="103"/>
        <v>2021027</v>
      </c>
      <c r="C1902" s="7" t="str">
        <f t="shared" si="102"/>
        <v>064</v>
      </c>
      <c r="D1902" s="7" t="str">
        <f>"10"</f>
        <v>10</v>
      </c>
      <c r="E1902" s="8">
        <v>64.1</v>
      </c>
      <c r="F1902" s="7" t="s">
        <v>7</v>
      </c>
    </row>
    <row r="1903" s="2" customFormat="1" ht="14.1" customHeight="1" spans="1:6">
      <c r="A1903" s="7" t="str">
        <f>"2102706411"</f>
        <v>2102706411</v>
      </c>
      <c r="B1903" s="7" t="str">
        <f t="shared" si="103"/>
        <v>2021027</v>
      </c>
      <c r="C1903" s="7" t="str">
        <f t="shared" si="102"/>
        <v>064</v>
      </c>
      <c r="D1903" s="7" t="str">
        <f>"11"</f>
        <v>11</v>
      </c>
      <c r="E1903" s="8">
        <v>58.7</v>
      </c>
      <c r="F1903" s="7" t="s">
        <v>7</v>
      </c>
    </row>
    <row r="1904" s="2" customFormat="1" ht="14.1" customHeight="1" spans="1:6">
      <c r="A1904" s="7" t="str">
        <f>"2102706412"</f>
        <v>2102706412</v>
      </c>
      <c r="B1904" s="7" t="str">
        <f t="shared" si="103"/>
        <v>2021027</v>
      </c>
      <c r="C1904" s="7" t="str">
        <f t="shared" si="102"/>
        <v>064</v>
      </c>
      <c r="D1904" s="7" t="str">
        <f>"12"</f>
        <v>12</v>
      </c>
      <c r="E1904" s="8">
        <v>57.2</v>
      </c>
      <c r="F1904" s="7" t="s">
        <v>7</v>
      </c>
    </row>
    <row r="1905" s="2" customFormat="1" ht="14.1" customHeight="1" spans="1:6">
      <c r="A1905" s="7" t="str">
        <f>"2102706413"</f>
        <v>2102706413</v>
      </c>
      <c r="B1905" s="7" t="str">
        <f t="shared" si="103"/>
        <v>2021027</v>
      </c>
      <c r="C1905" s="7" t="str">
        <f t="shared" si="102"/>
        <v>064</v>
      </c>
      <c r="D1905" s="7" t="str">
        <f>"13"</f>
        <v>13</v>
      </c>
      <c r="E1905" s="8">
        <v>66.6</v>
      </c>
      <c r="F1905" s="7" t="s">
        <v>7</v>
      </c>
    </row>
    <row r="1906" s="2" customFormat="1" ht="14.1" customHeight="1" spans="1:6">
      <c r="A1906" s="7" t="str">
        <f>"2102706414"</f>
        <v>2102706414</v>
      </c>
      <c r="B1906" s="7" t="str">
        <f t="shared" si="103"/>
        <v>2021027</v>
      </c>
      <c r="C1906" s="7" t="str">
        <f t="shared" si="102"/>
        <v>064</v>
      </c>
      <c r="D1906" s="7" t="str">
        <f>"14"</f>
        <v>14</v>
      </c>
      <c r="E1906" s="8">
        <v>0</v>
      </c>
      <c r="F1906" s="7" t="s">
        <v>8</v>
      </c>
    </row>
    <row r="1907" s="2" customFormat="1" ht="14.1" customHeight="1" spans="1:6">
      <c r="A1907" s="7" t="str">
        <f>"2102706415"</f>
        <v>2102706415</v>
      </c>
      <c r="B1907" s="7" t="str">
        <f t="shared" si="103"/>
        <v>2021027</v>
      </c>
      <c r="C1907" s="7" t="str">
        <f t="shared" si="102"/>
        <v>064</v>
      </c>
      <c r="D1907" s="7" t="str">
        <f>"15"</f>
        <v>15</v>
      </c>
      <c r="E1907" s="8">
        <v>58.9</v>
      </c>
      <c r="F1907" s="7" t="s">
        <v>7</v>
      </c>
    </row>
    <row r="1908" s="2" customFormat="1" ht="14.1" customHeight="1" spans="1:6">
      <c r="A1908" s="7" t="str">
        <f>"2102706416"</f>
        <v>2102706416</v>
      </c>
      <c r="B1908" s="7" t="str">
        <f t="shared" si="103"/>
        <v>2021027</v>
      </c>
      <c r="C1908" s="7" t="str">
        <f t="shared" si="102"/>
        <v>064</v>
      </c>
      <c r="D1908" s="7" t="str">
        <f>"16"</f>
        <v>16</v>
      </c>
      <c r="E1908" s="8">
        <v>70.3</v>
      </c>
      <c r="F1908" s="7" t="s">
        <v>7</v>
      </c>
    </row>
    <row r="1909" s="2" customFormat="1" ht="14.1" customHeight="1" spans="1:6">
      <c r="A1909" s="7" t="str">
        <f>"2102706417"</f>
        <v>2102706417</v>
      </c>
      <c r="B1909" s="7" t="str">
        <f t="shared" si="103"/>
        <v>2021027</v>
      </c>
      <c r="C1909" s="7" t="str">
        <f t="shared" si="102"/>
        <v>064</v>
      </c>
      <c r="D1909" s="7" t="str">
        <f>"17"</f>
        <v>17</v>
      </c>
      <c r="E1909" s="8">
        <v>60.2</v>
      </c>
      <c r="F1909" s="7" t="s">
        <v>7</v>
      </c>
    </row>
    <row r="1910" s="2" customFormat="1" ht="14.1" customHeight="1" spans="1:6">
      <c r="A1910" s="7" t="str">
        <f>"2102706418"</f>
        <v>2102706418</v>
      </c>
      <c r="B1910" s="7" t="str">
        <f t="shared" si="103"/>
        <v>2021027</v>
      </c>
      <c r="C1910" s="7" t="str">
        <f t="shared" si="102"/>
        <v>064</v>
      </c>
      <c r="D1910" s="7" t="str">
        <f>"18"</f>
        <v>18</v>
      </c>
      <c r="E1910" s="8">
        <v>71.2</v>
      </c>
      <c r="F1910" s="7" t="s">
        <v>7</v>
      </c>
    </row>
    <row r="1911" s="2" customFormat="1" ht="14.1" customHeight="1" spans="1:6">
      <c r="A1911" s="7" t="str">
        <f>"2102706419"</f>
        <v>2102706419</v>
      </c>
      <c r="B1911" s="7" t="str">
        <f t="shared" si="103"/>
        <v>2021027</v>
      </c>
      <c r="C1911" s="7" t="str">
        <f t="shared" si="102"/>
        <v>064</v>
      </c>
      <c r="D1911" s="7" t="str">
        <f>"19"</f>
        <v>19</v>
      </c>
      <c r="E1911" s="8">
        <v>0</v>
      </c>
      <c r="F1911" s="7" t="s">
        <v>8</v>
      </c>
    </row>
    <row r="1912" s="2" customFormat="1" ht="14.1" customHeight="1" spans="1:6">
      <c r="A1912" s="7" t="str">
        <f>"2102706420"</f>
        <v>2102706420</v>
      </c>
      <c r="B1912" s="7" t="str">
        <f t="shared" si="103"/>
        <v>2021027</v>
      </c>
      <c r="C1912" s="7" t="str">
        <f t="shared" si="102"/>
        <v>064</v>
      </c>
      <c r="D1912" s="7" t="str">
        <f>"20"</f>
        <v>20</v>
      </c>
      <c r="E1912" s="8">
        <v>62.5</v>
      </c>
      <c r="F1912" s="7" t="s">
        <v>7</v>
      </c>
    </row>
    <row r="1913" s="2" customFormat="1" ht="14.1" customHeight="1" spans="1:6">
      <c r="A1913" s="7" t="str">
        <f>"2102706421"</f>
        <v>2102706421</v>
      </c>
      <c r="B1913" s="7" t="str">
        <f t="shared" si="103"/>
        <v>2021027</v>
      </c>
      <c r="C1913" s="7" t="str">
        <f t="shared" si="102"/>
        <v>064</v>
      </c>
      <c r="D1913" s="7" t="str">
        <f>"21"</f>
        <v>21</v>
      </c>
      <c r="E1913" s="8">
        <v>62.3</v>
      </c>
      <c r="F1913" s="7" t="s">
        <v>7</v>
      </c>
    </row>
    <row r="1914" s="2" customFormat="1" ht="14.1" customHeight="1" spans="1:6">
      <c r="A1914" s="7" t="str">
        <f>"2102706422"</f>
        <v>2102706422</v>
      </c>
      <c r="B1914" s="7" t="str">
        <f t="shared" si="103"/>
        <v>2021027</v>
      </c>
      <c r="C1914" s="7" t="str">
        <f t="shared" si="102"/>
        <v>064</v>
      </c>
      <c r="D1914" s="7" t="str">
        <f>"22"</f>
        <v>22</v>
      </c>
      <c r="E1914" s="8">
        <v>64.4</v>
      </c>
      <c r="F1914" s="7" t="s">
        <v>7</v>
      </c>
    </row>
    <row r="1915" s="2" customFormat="1" ht="14.1" customHeight="1" spans="1:6">
      <c r="A1915" s="7" t="str">
        <f>"2102706423"</f>
        <v>2102706423</v>
      </c>
      <c r="B1915" s="7" t="str">
        <f t="shared" si="103"/>
        <v>2021027</v>
      </c>
      <c r="C1915" s="7" t="str">
        <f t="shared" si="102"/>
        <v>064</v>
      </c>
      <c r="D1915" s="7" t="str">
        <f>"23"</f>
        <v>23</v>
      </c>
      <c r="E1915" s="8">
        <v>0</v>
      </c>
      <c r="F1915" s="7" t="s">
        <v>8</v>
      </c>
    </row>
    <row r="1916" s="2" customFormat="1" ht="14.1" customHeight="1" spans="1:6">
      <c r="A1916" s="7" t="str">
        <f>"2102706424"</f>
        <v>2102706424</v>
      </c>
      <c r="B1916" s="7" t="str">
        <f t="shared" si="103"/>
        <v>2021027</v>
      </c>
      <c r="C1916" s="7" t="str">
        <f t="shared" si="102"/>
        <v>064</v>
      </c>
      <c r="D1916" s="7" t="str">
        <f>"24"</f>
        <v>24</v>
      </c>
      <c r="E1916" s="8">
        <v>69.5</v>
      </c>
      <c r="F1916" s="7" t="s">
        <v>7</v>
      </c>
    </row>
    <row r="1917" s="2" customFormat="1" ht="14.1" customHeight="1" spans="1:6">
      <c r="A1917" s="7" t="str">
        <f>"2102706425"</f>
        <v>2102706425</v>
      </c>
      <c r="B1917" s="7" t="str">
        <f t="shared" si="103"/>
        <v>2021027</v>
      </c>
      <c r="C1917" s="7" t="str">
        <f t="shared" si="102"/>
        <v>064</v>
      </c>
      <c r="D1917" s="7" t="str">
        <f>"25"</f>
        <v>25</v>
      </c>
      <c r="E1917" s="8">
        <v>0</v>
      </c>
      <c r="F1917" s="7" t="s">
        <v>8</v>
      </c>
    </row>
    <row r="1918" s="2" customFormat="1" ht="14.1" customHeight="1" spans="1:6">
      <c r="A1918" s="7" t="str">
        <f>"2102706426"</f>
        <v>2102706426</v>
      </c>
      <c r="B1918" s="7" t="str">
        <f t="shared" si="103"/>
        <v>2021027</v>
      </c>
      <c r="C1918" s="7" t="str">
        <f t="shared" si="102"/>
        <v>064</v>
      </c>
      <c r="D1918" s="7" t="str">
        <f>"26"</f>
        <v>26</v>
      </c>
      <c r="E1918" s="8">
        <v>63.2</v>
      </c>
      <c r="F1918" s="7" t="s">
        <v>7</v>
      </c>
    </row>
    <row r="1919" s="2" customFormat="1" ht="14.1" customHeight="1" spans="1:6">
      <c r="A1919" s="7" t="str">
        <f>"2102706427"</f>
        <v>2102706427</v>
      </c>
      <c r="B1919" s="7" t="str">
        <f t="shared" si="103"/>
        <v>2021027</v>
      </c>
      <c r="C1919" s="7" t="str">
        <f t="shared" si="102"/>
        <v>064</v>
      </c>
      <c r="D1919" s="7" t="str">
        <f>"27"</f>
        <v>27</v>
      </c>
      <c r="E1919" s="8">
        <v>60.7</v>
      </c>
      <c r="F1919" s="7" t="s">
        <v>7</v>
      </c>
    </row>
    <row r="1920" s="2" customFormat="1" ht="14.1" customHeight="1" spans="1:6">
      <c r="A1920" s="7" t="str">
        <f>"2102706428"</f>
        <v>2102706428</v>
      </c>
      <c r="B1920" s="7" t="str">
        <f t="shared" si="103"/>
        <v>2021027</v>
      </c>
      <c r="C1920" s="7" t="str">
        <f t="shared" si="102"/>
        <v>064</v>
      </c>
      <c r="D1920" s="7" t="str">
        <f>"28"</f>
        <v>28</v>
      </c>
      <c r="E1920" s="8">
        <v>67.2</v>
      </c>
      <c r="F1920" s="7" t="s">
        <v>7</v>
      </c>
    </row>
    <row r="1921" s="2" customFormat="1" ht="14.1" customHeight="1" spans="1:6">
      <c r="A1921" s="7" t="str">
        <f>"2102706429"</f>
        <v>2102706429</v>
      </c>
      <c r="B1921" s="7" t="str">
        <f t="shared" si="103"/>
        <v>2021027</v>
      </c>
      <c r="C1921" s="7" t="str">
        <f t="shared" si="102"/>
        <v>064</v>
      </c>
      <c r="D1921" s="7" t="str">
        <f>"29"</f>
        <v>29</v>
      </c>
      <c r="E1921" s="8">
        <v>57.1</v>
      </c>
      <c r="F1921" s="7" t="s">
        <v>7</v>
      </c>
    </row>
    <row r="1922" s="2" customFormat="1" ht="14.1" customHeight="1" spans="1:6">
      <c r="A1922" s="7" t="str">
        <f>"2102706430"</f>
        <v>2102706430</v>
      </c>
      <c r="B1922" s="7" t="str">
        <f t="shared" si="103"/>
        <v>2021027</v>
      </c>
      <c r="C1922" s="7" t="str">
        <f t="shared" si="102"/>
        <v>064</v>
      </c>
      <c r="D1922" s="7" t="str">
        <f>"30"</f>
        <v>30</v>
      </c>
      <c r="E1922" s="8">
        <v>0</v>
      </c>
      <c r="F1922" s="7" t="s">
        <v>8</v>
      </c>
    </row>
    <row r="1923" s="2" customFormat="1" ht="14.1" customHeight="1" spans="1:6">
      <c r="A1923" s="7" t="str">
        <f>"2102706501"</f>
        <v>2102706501</v>
      </c>
      <c r="B1923" s="7" t="str">
        <f t="shared" si="103"/>
        <v>2021027</v>
      </c>
      <c r="C1923" s="7" t="str">
        <f t="shared" ref="C1923:C1952" si="104">"065"</f>
        <v>065</v>
      </c>
      <c r="D1923" s="7" t="str">
        <f>"01"</f>
        <v>01</v>
      </c>
      <c r="E1923" s="8">
        <v>0</v>
      </c>
      <c r="F1923" s="7" t="s">
        <v>8</v>
      </c>
    </row>
    <row r="1924" s="2" customFormat="1" ht="14.1" customHeight="1" spans="1:6">
      <c r="A1924" s="7" t="str">
        <f>"2102706502"</f>
        <v>2102706502</v>
      </c>
      <c r="B1924" s="7" t="str">
        <f t="shared" si="103"/>
        <v>2021027</v>
      </c>
      <c r="C1924" s="7" t="str">
        <f t="shared" si="104"/>
        <v>065</v>
      </c>
      <c r="D1924" s="7" t="str">
        <f>"02"</f>
        <v>02</v>
      </c>
      <c r="E1924" s="8">
        <v>53.5</v>
      </c>
      <c r="F1924" s="7" t="s">
        <v>7</v>
      </c>
    </row>
    <row r="1925" s="2" customFormat="1" ht="14.1" customHeight="1" spans="1:6">
      <c r="A1925" s="7" t="str">
        <f>"2102706503"</f>
        <v>2102706503</v>
      </c>
      <c r="B1925" s="7" t="str">
        <f t="shared" si="103"/>
        <v>2021027</v>
      </c>
      <c r="C1925" s="7" t="str">
        <f t="shared" si="104"/>
        <v>065</v>
      </c>
      <c r="D1925" s="7" t="str">
        <f>"03"</f>
        <v>03</v>
      </c>
      <c r="E1925" s="8">
        <v>0</v>
      </c>
      <c r="F1925" s="7" t="s">
        <v>8</v>
      </c>
    </row>
    <row r="1926" s="2" customFormat="1" ht="14.1" customHeight="1" spans="1:6">
      <c r="A1926" s="7" t="str">
        <f>"2102706504"</f>
        <v>2102706504</v>
      </c>
      <c r="B1926" s="7" t="str">
        <f t="shared" si="103"/>
        <v>2021027</v>
      </c>
      <c r="C1926" s="7" t="str">
        <f t="shared" si="104"/>
        <v>065</v>
      </c>
      <c r="D1926" s="7" t="str">
        <f>"04"</f>
        <v>04</v>
      </c>
      <c r="E1926" s="8">
        <v>63.4</v>
      </c>
      <c r="F1926" s="7" t="s">
        <v>7</v>
      </c>
    </row>
    <row r="1927" s="2" customFormat="1" ht="14.1" customHeight="1" spans="1:6">
      <c r="A1927" s="7" t="str">
        <f>"2102706505"</f>
        <v>2102706505</v>
      </c>
      <c r="B1927" s="7" t="str">
        <f t="shared" si="103"/>
        <v>2021027</v>
      </c>
      <c r="C1927" s="7" t="str">
        <f t="shared" si="104"/>
        <v>065</v>
      </c>
      <c r="D1927" s="7" t="str">
        <f>"05"</f>
        <v>05</v>
      </c>
      <c r="E1927" s="8">
        <v>55.7</v>
      </c>
      <c r="F1927" s="7" t="s">
        <v>7</v>
      </c>
    </row>
    <row r="1928" s="2" customFormat="1" ht="14.1" customHeight="1" spans="1:6">
      <c r="A1928" s="7" t="str">
        <f>"2102706506"</f>
        <v>2102706506</v>
      </c>
      <c r="B1928" s="7" t="str">
        <f t="shared" si="103"/>
        <v>2021027</v>
      </c>
      <c r="C1928" s="7" t="str">
        <f t="shared" si="104"/>
        <v>065</v>
      </c>
      <c r="D1928" s="7" t="str">
        <f>"06"</f>
        <v>06</v>
      </c>
      <c r="E1928" s="8">
        <v>0</v>
      </c>
      <c r="F1928" s="7" t="s">
        <v>8</v>
      </c>
    </row>
    <row r="1929" s="2" customFormat="1" ht="14.1" customHeight="1" spans="1:6">
      <c r="A1929" s="7" t="str">
        <f>"2102706507"</f>
        <v>2102706507</v>
      </c>
      <c r="B1929" s="7" t="str">
        <f t="shared" si="103"/>
        <v>2021027</v>
      </c>
      <c r="C1929" s="7" t="str">
        <f t="shared" si="104"/>
        <v>065</v>
      </c>
      <c r="D1929" s="7" t="str">
        <f>"07"</f>
        <v>07</v>
      </c>
      <c r="E1929" s="8">
        <v>0</v>
      </c>
      <c r="F1929" s="7" t="s">
        <v>8</v>
      </c>
    </row>
    <row r="1930" s="2" customFormat="1" ht="14.1" customHeight="1" spans="1:6">
      <c r="A1930" s="7" t="str">
        <f>"2102706508"</f>
        <v>2102706508</v>
      </c>
      <c r="B1930" s="7" t="str">
        <f t="shared" si="103"/>
        <v>2021027</v>
      </c>
      <c r="C1930" s="7" t="str">
        <f t="shared" si="104"/>
        <v>065</v>
      </c>
      <c r="D1930" s="7" t="str">
        <f>"08"</f>
        <v>08</v>
      </c>
      <c r="E1930" s="8">
        <v>0</v>
      </c>
      <c r="F1930" s="7" t="s">
        <v>8</v>
      </c>
    </row>
    <row r="1931" s="2" customFormat="1" ht="14.1" customHeight="1" spans="1:6">
      <c r="A1931" s="7" t="str">
        <f>"2102706509"</f>
        <v>2102706509</v>
      </c>
      <c r="B1931" s="7" t="str">
        <f t="shared" si="103"/>
        <v>2021027</v>
      </c>
      <c r="C1931" s="7" t="str">
        <f t="shared" si="104"/>
        <v>065</v>
      </c>
      <c r="D1931" s="7" t="str">
        <f>"09"</f>
        <v>09</v>
      </c>
      <c r="E1931" s="8">
        <v>68.6</v>
      </c>
      <c r="F1931" s="7" t="s">
        <v>7</v>
      </c>
    </row>
    <row r="1932" s="2" customFormat="1" ht="14.1" customHeight="1" spans="1:6">
      <c r="A1932" s="7" t="str">
        <f>"2102706510"</f>
        <v>2102706510</v>
      </c>
      <c r="B1932" s="7" t="str">
        <f t="shared" si="103"/>
        <v>2021027</v>
      </c>
      <c r="C1932" s="7" t="str">
        <f t="shared" si="104"/>
        <v>065</v>
      </c>
      <c r="D1932" s="7" t="str">
        <f>"10"</f>
        <v>10</v>
      </c>
      <c r="E1932" s="8">
        <v>59</v>
      </c>
      <c r="F1932" s="7" t="s">
        <v>7</v>
      </c>
    </row>
    <row r="1933" s="2" customFormat="1" ht="14.1" customHeight="1" spans="1:6">
      <c r="A1933" s="7" t="str">
        <f>"2102706511"</f>
        <v>2102706511</v>
      </c>
      <c r="B1933" s="7" t="str">
        <f t="shared" si="103"/>
        <v>2021027</v>
      </c>
      <c r="C1933" s="7" t="str">
        <f t="shared" si="104"/>
        <v>065</v>
      </c>
      <c r="D1933" s="7" t="str">
        <f>"11"</f>
        <v>11</v>
      </c>
      <c r="E1933" s="8">
        <v>0</v>
      </c>
      <c r="F1933" s="7" t="s">
        <v>8</v>
      </c>
    </row>
    <row r="1934" s="2" customFormat="1" ht="14.1" customHeight="1" spans="1:6">
      <c r="A1934" s="7" t="str">
        <f>"2102706512"</f>
        <v>2102706512</v>
      </c>
      <c r="B1934" s="7" t="str">
        <f t="shared" si="103"/>
        <v>2021027</v>
      </c>
      <c r="C1934" s="7" t="str">
        <f t="shared" si="104"/>
        <v>065</v>
      </c>
      <c r="D1934" s="7" t="str">
        <f>"12"</f>
        <v>12</v>
      </c>
      <c r="E1934" s="8">
        <v>0</v>
      </c>
      <c r="F1934" s="7" t="s">
        <v>8</v>
      </c>
    </row>
    <row r="1935" s="2" customFormat="1" ht="14.1" customHeight="1" spans="1:6">
      <c r="A1935" s="7" t="str">
        <f>"2102706513"</f>
        <v>2102706513</v>
      </c>
      <c r="B1935" s="7" t="str">
        <f t="shared" si="103"/>
        <v>2021027</v>
      </c>
      <c r="C1935" s="7" t="str">
        <f t="shared" si="104"/>
        <v>065</v>
      </c>
      <c r="D1935" s="7" t="str">
        <f>"13"</f>
        <v>13</v>
      </c>
      <c r="E1935" s="8">
        <v>0</v>
      </c>
      <c r="F1935" s="7" t="s">
        <v>8</v>
      </c>
    </row>
    <row r="1936" s="2" customFormat="1" ht="14.1" customHeight="1" spans="1:6">
      <c r="A1936" s="7" t="str">
        <f>"2102706514"</f>
        <v>2102706514</v>
      </c>
      <c r="B1936" s="7" t="str">
        <f t="shared" si="103"/>
        <v>2021027</v>
      </c>
      <c r="C1936" s="7" t="str">
        <f t="shared" si="104"/>
        <v>065</v>
      </c>
      <c r="D1936" s="7" t="str">
        <f>"14"</f>
        <v>14</v>
      </c>
      <c r="E1936" s="8">
        <v>66.4</v>
      </c>
      <c r="F1936" s="7" t="s">
        <v>7</v>
      </c>
    </row>
    <row r="1937" s="2" customFormat="1" ht="14.1" customHeight="1" spans="1:6">
      <c r="A1937" s="7" t="str">
        <f>"2102706515"</f>
        <v>2102706515</v>
      </c>
      <c r="B1937" s="7" t="str">
        <f t="shared" si="103"/>
        <v>2021027</v>
      </c>
      <c r="C1937" s="7" t="str">
        <f t="shared" si="104"/>
        <v>065</v>
      </c>
      <c r="D1937" s="7" t="str">
        <f>"15"</f>
        <v>15</v>
      </c>
      <c r="E1937" s="8">
        <v>49.1</v>
      </c>
      <c r="F1937" s="7" t="s">
        <v>7</v>
      </c>
    </row>
    <row r="1938" s="2" customFormat="1" ht="14.1" customHeight="1" spans="1:6">
      <c r="A1938" s="7" t="str">
        <f>"2102706516"</f>
        <v>2102706516</v>
      </c>
      <c r="B1938" s="7" t="str">
        <f t="shared" si="103"/>
        <v>2021027</v>
      </c>
      <c r="C1938" s="7" t="str">
        <f t="shared" si="104"/>
        <v>065</v>
      </c>
      <c r="D1938" s="7" t="str">
        <f>"16"</f>
        <v>16</v>
      </c>
      <c r="E1938" s="8">
        <v>0</v>
      </c>
      <c r="F1938" s="7" t="s">
        <v>8</v>
      </c>
    </row>
    <row r="1939" s="2" customFormat="1" ht="14.1" customHeight="1" spans="1:6">
      <c r="A1939" s="7" t="str">
        <f>"2102706517"</f>
        <v>2102706517</v>
      </c>
      <c r="B1939" s="7" t="str">
        <f t="shared" si="103"/>
        <v>2021027</v>
      </c>
      <c r="C1939" s="7" t="str">
        <f t="shared" si="104"/>
        <v>065</v>
      </c>
      <c r="D1939" s="7" t="str">
        <f>"17"</f>
        <v>17</v>
      </c>
      <c r="E1939" s="8">
        <v>0</v>
      </c>
      <c r="F1939" s="7" t="s">
        <v>8</v>
      </c>
    </row>
    <row r="1940" s="2" customFormat="1" ht="14.1" customHeight="1" spans="1:6">
      <c r="A1940" s="7" t="str">
        <f>"2102706518"</f>
        <v>2102706518</v>
      </c>
      <c r="B1940" s="7" t="str">
        <f t="shared" si="103"/>
        <v>2021027</v>
      </c>
      <c r="C1940" s="7" t="str">
        <f t="shared" si="104"/>
        <v>065</v>
      </c>
      <c r="D1940" s="7" t="str">
        <f>"18"</f>
        <v>18</v>
      </c>
      <c r="E1940" s="8">
        <v>48.1</v>
      </c>
      <c r="F1940" s="7" t="s">
        <v>7</v>
      </c>
    </row>
    <row r="1941" s="2" customFormat="1" ht="14.1" customHeight="1" spans="1:6">
      <c r="A1941" s="7" t="str">
        <f>"2102706519"</f>
        <v>2102706519</v>
      </c>
      <c r="B1941" s="7" t="str">
        <f t="shared" si="103"/>
        <v>2021027</v>
      </c>
      <c r="C1941" s="7" t="str">
        <f t="shared" si="104"/>
        <v>065</v>
      </c>
      <c r="D1941" s="7" t="str">
        <f>"19"</f>
        <v>19</v>
      </c>
      <c r="E1941" s="8">
        <v>0</v>
      </c>
      <c r="F1941" s="7" t="s">
        <v>8</v>
      </c>
    </row>
    <row r="1942" s="2" customFormat="1" ht="14.1" customHeight="1" spans="1:6">
      <c r="A1942" s="7" t="str">
        <f>"2102706520"</f>
        <v>2102706520</v>
      </c>
      <c r="B1942" s="7" t="str">
        <f t="shared" si="103"/>
        <v>2021027</v>
      </c>
      <c r="C1942" s="7" t="str">
        <f t="shared" si="104"/>
        <v>065</v>
      </c>
      <c r="D1942" s="7" t="str">
        <f>"20"</f>
        <v>20</v>
      </c>
      <c r="E1942" s="8">
        <v>72.8</v>
      </c>
      <c r="F1942" s="7" t="s">
        <v>7</v>
      </c>
    </row>
    <row r="1943" s="2" customFormat="1" ht="14.1" customHeight="1" spans="1:6">
      <c r="A1943" s="7" t="str">
        <f>"2102706521"</f>
        <v>2102706521</v>
      </c>
      <c r="B1943" s="7" t="str">
        <f t="shared" si="103"/>
        <v>2021027</v>
      </c>
      <c r="C1943" s="7" t="str">
        <f t="shared" si="104"/>
        <v>065</v>
      </c>
      <c r="D1943" s="7" t="str">
        <f>"21"</f>
        <v>21</v>
      </c>
      <c r="E1943" s="8">
        <v>46.2</v>
      </c>
      <c r="F1943" s="7" t="s">
        <v>7</v>
      </c>
    </row>
    <row r="1944" s="2" customFormat="1" ht="14.1" customHeight="1" spans="1:6">
      <c r="A1944" s="7" t="str">
        <f>"2102706522"</f>
        <v>2102706522</v>
      </c>
      <c r="B1944" s="7" t="str">
        <f t="shared" si="103"/>
        <v>2021027</v>
      </c>
      <c r="C1944" s="7" t="str">
        <f t="shared" si="104"/>
        <v>065</v>
      </c>
      <c r="D1944" s="7" t="str">
        <f>"22"</f>
        <v>22</v>
      </c>
      <c r="E1944" s="8">
        <v>68</v>
      </c>
      <c r="F1944" s="7" t="s">
        <v>7</v>
      </c>
    </row>
    <row r="1945" s="2" customFormat="1" ht="14.1" customHeight="1" spans="1:6">
      <c r="A1945" s="7" t="str">
        <f>"2102706523"</f>
        <v>2102706523</v>
      </c>
      <c r="B1945" s="7" t="str">
        <f t="shared" si="103"/>
        <v>2021027</v>
      </c>
      <c r="C1945" s="7" t="str">
        <f t="shared" si="104"/>
        <v>065</v>
      </c>
      <c r="D1945" s="7" t="str">
        <f>"23"</f>
        <v>23</v>
      </c>
      <c r="E1945" s="8">
        <v>64.7</v>
      </c>
      <c r="F1945" s="7" t="s">
        <v>7</v>
      </c>
    </row>
    <row r="1946" s="2" customFormat="1" ht="14.1" customHeight="1" spans="1:6">
      <c r="A1946" s="7" t="str">
        <f>"2102706524"</f>
        <v>2102706524</v>
      </c>
      <c r="B1946" s="7" t="str">
        <f t="shared" si="103"/>
        <v>2021027</v>
      </c>
      <c r="C1946" s="7" t="str">
        <f t="shared" si="104"/>
        <v>065</v>
      </c>
      <c r="D1946" s="7" t="str">
        <f>"24"</f>
        <v>24</v>
      </c>
      <c r="E1946" s="8">
        <v>0</v>
      </c>
      <c r="F1946" s="7" t="s">
        <v>8</v>
      </c>
    </row>
    <row r="1947" s="2" customFormat="1" ht="14.1" customHeight="1" spans="1:6">
      <c r="A1947" s="7" t="str">
        <f>"2102706525"</f>
        <v>2102706525</v>
      </c>
      <c r="B1947" s="7" t="str">
        <f t="shared" si="103"/>
        <v>2021027</v>
      </c>
      <c r="C1947" s="7" t="str">
        <f t="shared" si="104"/>
        <v>065</v>
      </c>
      <c r="D1947" s="7" t="str">
        <f>"25"</f>
        <v>25</v>
      </c>
      <c r="E1947" s="8">
        <v>65.7</v>
      </c>
      <c r="F1947" s="7" t="s">
        <v>7</v>
      </c>
    </row>
    <row r="1948" s="2" customFormat="1" ht="14.1" customHeight="1" spans="1:6">
      <c r="A1948" s="7" t="str">
        <f>"2102706526"</f>
        <v>2102706526</v>
      </c>
      <c r="B1948" s="7" t="str">
        <f t="shared" si="103"/>
        <v>2021027</v>
      </c>
      <c r="C1948" s="7" t="str">
        <f t="shared" si="104"/>
        <v>065</v>
      </c>
      <c r="D1948" s="7" t="str">
        <f>"26"</f>
        <v>26</v>
      </c>
      <c r="E1948" s="8">
        <v>57.6</v>
      </c>
      <c r="F1948" s="7" t="s">
        <v>7</v>
      </c>
    </row>
    <row r="1949" s="2" customFormat="1" ht="14.1" customHeight="1" spans="1:6">
      <c r="A1949" s="7" t="str">
        <f>"2102706527"</f>
        <v>2102706527</v>
      </c>
      <c r="B1949" s="7" t="str">
        <f t="shared" si="103"/>
        <v>2021027</v>
      </c>
      <c r="C1949" s="7" t="str">
        <f t="shared" si="104"/>
        <v>065</v>
      </c>
      <c r="D1949" s="7" t="str">
        <f>"27"</f>
        <v>27</v>
      </c>
      <c r="E1949" s="8">
        <v>63.5</v>
      </c>
      <c r="F1949" s="7" t="s">
        <v>7</v>
      </c>
    </row>
    <row r="1950" s="2" customFormat="1" ht="14.1" customHeight="1" spans="1:6">
      <c r="A1950" s="7" t="str">
        <f>"2102706528"</f>
        <v>2102706528</v>
      </c>
      <c r="B1950" s="7" t="str">
        <f t="shared" si="103"/>
        <v>2021027</v>
      </c>
      <c r="C1950" s="7" t="str">
        <f t="shared" si="104"/>
        <v>065</v>
      </c>
      <c r="D1950" s="7" t="str">
        <f>"28"</f>
        <v>28</v>
      </c>
      <c r="E1950" s="8">
        <v>0</v>
      </c>
      <c r="F1950" s="7" t="s">
        <v>8</v>
      </c>
    </row>
    <row r="1951" s="2" customFormat="1" ht="14.1" customHeight="1" spans="1:6">
      <c r="A1951" s="7" t="str">
        <f>"2102706529"</f>
        <v>2102706529</v>
      </c>
      <c r="B1951" s="7" t="str">
        <f t="shared" si="103"/>
        <v>2021027</v>
      </c>
      <c r="C1951" s="7" t="str">
        <f t="shared" si="104"/>
        <v>065</v>
      </c>
      <c r="D1951" s="7" t="str">
        <f>"29"</f>
        <v>29</v>
      </c>
      <c r="E1951" s="8">
        <v>59.2</v>
      </c>
      <c r="F1951" s="7" t="s">
        <v>7</v>
      </c>
    </row>
    <row r="1952" s="2" customFormat="1" ht="14.1" customHeight="1" spans="1:6">
      <c r="A1952" s="7" t="str">
        <f>"2102706530"</f>
        <v>2102706530</v>
      </c>
      <c r="B1952" s="7" t="str">
        <f t="shared" si="103"/>
        <v>2021027</v>
      </c>
      <c r="C1952" s="7" t="str">
        <f t="shared" si="104"/>
        <v>065</v>
      </c>
      <c r="D1952" s="7" t="str">
        <f>"30"</f>
        <v>30</v>
      </c>
      <c r="E1952" s="8">
        <v>0</v>
      </c>
      <c r="F1952" s="7" t="s">
        <v>8</v>
      </c>
    </row>
    <row r="1953" s="2" customFormat="1" ht="14.1" customHeight="1" spans="1:6">
      <c r="A1953" s="7" t="str">
        <f>"2102706601"</f>
        <v>2102706601</v>
      </c>
      <c r="B1953" s="7" t="str">
        <f t="shared" si="103"/>
        <v>2021027</v>
      </c>
      <c r="C1953" s="7" t="str">
        <f t="shared" ref="C1953:C1982" si="105">"066"</f>
        <v>066</v>
      </c>
      <c r="D1953" s="7" t="str">
        <f>"01"</f>
        <v>01</v>
      </c>
      <c r="E1953" s="8">
        <v>60</v>
      </c>
      <c r="F1953" s="7" t="s">
        <v>7</v>
      </c>
    </row>
    <row r="1954" s="2" customFormat="1" ht="14.1" customHeight="1" spans="1:6">
      <c r="A1954" s="7" t="str">
        <f>"2102706602"</f>
        <v>2102706602</v>
      </c>
      <c r="B1954" s="7" t="str">
        <f t="shared" si="103"/>
        <v>2021027</v>
      </c>
      <c r="C1954" s="7" t="str">
        <f t="shared" si="105"/>
        <v>066</v>
      </c>
      <c r="D1954" s="7" t="str">
        <f>"02"</f>
        <v>02</v>
      </c>
      <c r="E1954" s="8">
        <v>64.5</v>
      </c>
      <c r="F1954" s="7" t="s">
        <v>7</v>
      </c>
    </row>
    <row r="1955" s="2" customFormat="1" ht="14.1" customHeight="1" spans="1:6">
      <c r="A1955" s="7" t="str">
        <f>"2102706603"</f>
        <v>2102706603</v>
      </c>
      <c r="B1955" s="7" t="str">
        <f t="shared" si="103"/>
        <v>2021027</v>
      </c>
      <c r="C1955" s="7" t="str">
        <f t="shared" si="105"/>
        <v>066</v>
      </c>
      <c r="D1955" s="7" t="str">
        <f>"03"</f>
        <v>03</v>
      </c>
      <c r="E1955" s="8">
        <v>66.4</v>
      </c>
      <c r="F1955" s="7" t="s">
        <v>7</v>
      </c>
    </row>
    <row r="1956" s="2" customFormat="1" ht="14.1" customHeight="1" spans="1:6">
      <c r="A1956" s="7" t="str">
        <f>"2102706604"</f>
        <v>2102706604</v>
      </c>
      <c r="B1956" s="7" t="str">
        <f t="shared" si="103"/>
        <v>2021027</v>
      </c>
      <c r="C1956" s="7" t="str">
        <f t="shared" si="105"/>
        <v>066</v>
      </c>
      <c r="D1956" s="7" t="str">
        <f>"04"</f>
        <v>04</v>
      </c>
      <c r="E1956" s="8">
        <v>57.3</v>
      </c>
      <c r="F1956" s="7" t="s">
        <v>7</v>
      </c>
    </row>
    <row r="1957" s="2" customFormat="1" ht="14.1" customHeight="1" spans="1:6">
      <c r="A1957" s="7" t="str">
        <f>"2102706605"</f>
        <v>2102706605</v>
      </c>
      <c r="B1957" s="7" t="str">
        <f t="shared" si="103"/>
        <v>2021027</v>
      </c>
      <c r="C1957" s="7" t="str">
        <f t="shared" si="105"/>
        <v>066</v>
      </c>
      <c r="D1957" s="7" t="str">
        <f>"05"</f>
        <v>05</v>
      </c>
      <c r="E1957" s="8">
        <v>58.6</v>
      </c>
      <c r="F1957" s="7" t="s">
        <v>7</v>
      </c>
    </row>
    <row r="1958" s="2" customFormat="1" ht="14.1" customHeight="1" spans="1:6">
      <c r="A1958" s="7" t="str">
        <f>"2102706606"</f>
        <v>2102706606</v>
      </c>
      <c r="B1958" s="7" t="str">
        <f t="shared" si="103"/>
        <v>2021027</v>
      </c>
      <c r="C1958" s="7" t="str">
        <f t="shared" si="105"/>
        <v>066</v>
      </c>
      <c r="D1958" s="7" t="str">
        <f>"06"</f>
        <v>06</v>
      </c>
      <c r="E1958" s="8">
        <v>0</v>
      </c>
      <c r="F1958" s="7" t="s">
        <v>8</v>
      </c>
    </row>
    <row r="1959" s="2" customFormat="1" ht="14.1" customHeight="1" spans="1:6">
      <c r="A1959" s="7" t="str">
        <f>"2102706607"</f>
        <v>2102706607</v>
      </c>
      <c r="B1959" s="7" t="str">
        <f t="shared" si="103"/>
        <v>2021027</v>
      </c>
      <c r="C1959" s="7" t="str">
        <f t="shared" si="105"/>
        <v>066</v>
      </c>
      <c r="D1959" s="7" t="str">
        <f>"07"</f>
        <v>07</v>
      </c>
      <c r="E1959" s="8">
        <v>60.8</v>
      </c>
      <c r="F1959" s="7" t="s">
        <v>7</v>
      </c>
    </row>
    <row r="1960" s="2" customFormat="1" ht="14.1" customHeight="1" spans="1:6">
      <c r="A1960" s="7" t="str">
        <f>"2102706608"</f>
        <v>2102706608</v>
      </c>
      <c r="B1960" s="7" t="str">
        <f t="shared" si="103"/>
        <v>2021027</v>
      </c>
      <c r="C1960" s="7" t="str">
        <f t="shared" si="105"/>
        <v>066</v>
      </c>
      <c r="D1960" s="7" t="str">
        <f>"08"</f>
        <v>08</v>
      </c>
      <c r="E1960" s="8">
        <v>45.5</v>
      </c>
      <c r="F1960" s="7" t="s">
        <v>7</v>
      </c>
    </row>
    <row r="1961" s="2" customFormat="1" ht="14.1" customHeight="1" spans="1:6">
      <c r="A1961" s="7" t="str">
        <f>"2102706609"</f>
        <v>2102706609</v>
      </c>
      <c r="B1961" s="7" t="str">
        <f t="shared" si="103"/>
        <v>2021027</v>
      </c>
      <c r="C1961" s="7" t="str">
        <f t="shared" si="105"/>
        <v>066</v>
      </c>
      <c r="D1961" s="7" t="str">
        <f>"09"</f>
        <v>09</v>
      </c>
      <c r="E1961" s="8">
        <v>68.9</v>
      </c>
      <c r="F1961" s="7" t="s">
        <v>7</v>
      </c>
    </row>
    <row r="1962" s="2" customFormat="1" ht="14.1" customHeight="1" spans="1:6">
      <c r="A1962" s="7" t="str">
        <f>"2102706610"</f>
        <v>2102706610</v>
      </c>
      <c r="B1962" s="7" t="str">
        <f t="shared" ref="B1962:B1981" si="106">"2021027"</f>
        <v>2021027</v>
      </c>
      <c r="C1962" s="7" t="str">
        <f t="shared" si="105"/>
        <v>066</v>
      </c>
      <c r="D1962" s="7" t="str">
        <f>"10"</f>
        <v>10</v>
      </c>
      <c r="E1962" s="8">
        <v>0</v>
      </c>
      <c r="F1962" s="7" t="s">
        <v>8</v>
      </c>
    </row>
    <row r="1963" s="2" customFormat="1" ht="14.1" customHeight="1" spans="1:6">
      <c r="A1963" s="7" t="str">
        <f>"2102706611"</f>
        <v>2102706611</v>
      </c>
      <c r="B1963" s="7" t="str">
        <f t="shared" si="106"/>
        <v>2021027</v>
      </c>
      <c r="C1963" s="7" t="str">
        <f t="shared" si="105"/>
        <v>066</v>
      </c>
      <c r="D1963" s="7" t="str">
        <f>"11"</f>
        <v>11</v>
      </c>
      <c r="E1963" s="8">
        <v>41.9</v>
      </c>
      <c r="F1963" s="7" t="s">
        <v>7</v>
      </c>
    </row>
    <row r="1964" s="2" customFormat="1" ht="14.1" customHeight="1" spans="1:6">
      <c r="A1964" s="7" t="str">
        <f>"2102706612"</f>
        <v>2102706612</v>
      </c>
      <c r="B1964" s="7" t="str">
        <f t="shared" si="106"/>
        <v>2021027</v>
      </c>
      <c r="C1964" s="7" t="str">
        <f t="shared" si="105"/>
        <v>066</v>
      </c>
      <c r="D1964" s="7" t="str">
        <f>"12"</f>
        <v>12</v>
      </c>
      <c r="E1964" s="8">
        <v>0</v>
      </c>
      <c r="F1964" s="7" t="s">
        <v>8</v>
      </c>
    </row>
    <row r="1965" s="2" customFormat="1" ht="14.1" customHeight="1" spans="1:6">
      <c r="A1965" s="7" t="str">
        <f>"2102706613"</f>
        <v>2102706613</v>
      </c>
      <c r="B1965" s="7" t="str">
        <f t="shared" si="106"/>
        <v>2021027</v>
      </c>
      <c r="C1965" s="7" t="str">
        <f t="shared" si="105"/>
        <v>066</v>
      </c>
      <c r="D1965" s="7" t="str">
        <f>"13"</f>
        <v>13</v>
      </c>
      <c r="E1965" s="8">
        <v>63.1</v>
      </c>
      <c r="F1965" s="7" t="s">
        <v>7</v>
      </c>
    </row>
    <row r="1966" s="2" customFormat="1" ht="14.1" customHeight="1" spans="1:6">
      <c r="A1966" s="7" t="str">
        <f>"2102706614"</f>
        <v>2102706614</v>
      </c>
      <c r="B1966" s="7" t="str">
        <f t="shared" si="106"/>
        <v>2021027</v>
      </c>
      <c r="C1966" s="7" t="str">
        <f t="shared" si="105"/>
        <v>066</v>
      </c>
      <c r="D1966" s="7" t="str">
        <f>"14"</f>
        <v>14</v>
      </c>
      <c r="E1966" s="8">
        <v>0</v>
      </c>
      <c r="F1966" s="7" t="s">
        <v>8</v>
      </c>
    </row>
    <row r="1967" s="2" customFormat="1" ht="14.1" customHeight="1" spans="1:6">
      <c r="A1967" s="7" t="str">
        <f>"2102706615"</f>
        <v>2102706615</v>
      </c>
      <c r="B1967" s="7" t="str">
        <f t="shared" si="106"/>
        <v>2021027</v>
      </c>
      <c r="C1967" s="7" t="str">
        <f t="shared" si="105"/>
        <v>066</v>
      </c>
      <c r="D1967" s="7" t="str">
        <f>"15"</f>
        <v>15</v>
      </c>
      <c r="E1967" s="8">
        <v>60.9</v>
      </c>
      <c r="F1967" s="7" t="s">
        <v>7</v>
      </c>
    </row>
    <row r="1968" s="2" customFormat="1" ht="14.1" customHeight="1" spans="1:6">
      <c r="A1968" s="7" t="str">
        <f>"2102706616"</f>
        <v>2102706616</v>
      </c>
      <c r="B1968" s="7" t="str">
        <f t="shared" si="106"/>
        <v>2021027</v>
      </c>
      <c r="C1968" s="7" t="str">
        <f t="shared" si="105"/>
        <v>066</v>
      </c>
      <c r="D1968" s="7" t="str">
        <f>"16"</f>
        <v>16</v>
      </c>
      <c r="E1968" s="8">
        <v>73.4</v>
      </c>
      <c r="F1968" s="7" t="s">
        <v>7</v>
      </c>
    </row>
    <row r="1969" s="2" customFormat="1" ht="14.1" customHeight="1" spans="1:6">
      <c r="A1969" s="7" t="str">
        <f>"2102706617"</f>
        <v>2102706617</v>
      </c>
      <c r="B1969" s="7" t="str">
        <f t="shared" si="106"/>
        <v>2021027</v>
      </c>
      <c r="C1969" s="7" t="str">
        <f t="shared" si="105"/>
        <v>066</v>
      </c>
      <c r="D1969" s="7" t="str">
        <f>"17"</f>
        <v>17</v>
      </c>
      <c r="E1969" s="8">
        <v>57.4</v>
      </c>
      <c r="F1969" s="7" t="s">
        <v>7</v>
      </c>
    </row>
    <row r="1970" s="2" customFormat="1" ht="14.1" customHeight="1" spans="1:6">
      <c r="A1970" s="7" t="str">
        <f>"2102706618"</f>
        <v>2102706618</v>
      </c>
      <c r="B1970" s="7" t="str">
        <f t="shared" si="106"/>
        <v>2021027</v>
      </c>
      <c r="C1970" s="7" t="str">
        <f t="shared" si="105"/>
        <v>066</v>
      </c>
      <c r="D1970" s="7" t="str">
        <f>"18"</f>
        <v>18</v>
      </c>
      <c r="E1970" s="8">
        <v>0</v>
      </c>
      <c r="F1970" s="7" t="s">
        <v>8</v>
      </c>
    </row>
    <row r="1971" s="2" customFormat="1" ht="14.1" customHeight="1" spans="1:6">
      <c r="A1971" s="7" t="str">
        <f>"2102706619"</f>
        <v>2102706619</v>
      </c>
      <c r="B1971" s="7" t="str">
        <f t="shared" si="106"/>
        <v>2021027</v>
      </c>
      <c r="C1971" s="7" t="str">
        <f t="shared" si="105"/>
        <v>066</v>
      </c>
      <c r="D1971" s="7" t="str">
        <f>"19"</f>
        <v>19</v>
      </c>
      <c r="E1971" s="8">
        <v>62.3</v>
      </c>
      <c r="F1971" s="7" t="s">
        <v>7</v>
      </c>
    </row>
    <row r="1972" s="2" customFormat="1" ht="14.1" customHeight="1" spans="1:6">
      <c r="A1972" s="7" t="str">
        <f>"2102706620"</f>
        <v>2102706620</v>
      </c>
      <c r="B1972" s="7" t="str">
        <f t="shared" si="106"/>
        <v>2021027</v>
      </c>
      <c r="C1972" s="7" t="str">
        <f t="shared" si="105"/>
        <v>066</v>
      </c>
      <c r="D1972" s="7" t="str">
        <f>"20"</f>
        <v>20</v>
      </c>
      <c r="E1972" s="8">
        <v>59.2</v>
      </c>
      <c r="F1972" s="7" t="s">
        <v>7</v>
      </c>
    </row>
    <row r="1973" s="2" customFormat="1" ht="14.1" customHeight="1" spans="1:6">
      <c r="A1973" s="7" t="str">
        <f>"2102706621"</f>
        <v>2102706621</v>
      </c>
      <c r="B1973" s="7" t="str">
        <f t="shared" si="106"/>
        <v>2021027</v>
      </c>
      <c r="C1973" s="7" t="str">
        <f t="shared" si="105"/>
        <v>066</v>
      </c>
      <c r="D1973" s="7" t="str">
        <f>"21"</f>
        <v>21</v>
      </c>
      <c r="E1973" s="8">
        <v>0</v>
      </c>
      <c r="F1973" s="7" t="s">
        <v>8</v>
      </c>
    </row>
    <row r="1974" s="2" customFormat="1" ht="14.1" customHeight="1" spans="1:6">
      <c r="A1974" s="7" t="str">
        <f>"2102706622"</f>
        <v>2102706622</v>
      </c>
      <c r="B1974" s="7" t="str">
        <f t="shared" si="106"/>
        <v>2021027</v>
      </c>
      <c r="C1974" s="7" t="str">
        <f t="shared" si="105"/>
        <v>066</v>
      </c>
      <c r="D1974" s="7" t="str">
        <f>"22"</f>
        <v>22</v>
      </c>
      <c r="E1974" s="8">
        <v>65.5</v>
      </c>
      <c r="F1974" s="7" t="s">
        <v>7</v>
      </c>
    </row>
    <row r="1975" s="2" customFormat="1" ht="14.1" customHeight="1" spans="1:6">
      <c r="A1975" s="7" t="str">
        <f>"2102706623"</f>
        <v>2102706623</v>
      </c>
      <c r="B1975" s="7" t="str">
        <f t="shared" si="106"/>
        <v>2021027</v>
      </c>
      <c r="C1975" s="7" t="str">
        <f t="shared" si="105"/>
        <v>066</v>
      </c>
      <c r="D1975" s="7" t="str">
        <f>"23"</f>
        <v>23</v>
      </c>
      <c r="E1975" s="8">
        <v>0</v>
      </c>
      <c r="F1975" s="7" t="s">
        <v>8</v>
      </c>
    </row>
    <row r="1976" s="2" customFormat="1" ht="14.1" customHeight="1" spans="1:6">
      <c r="A1976" s="7" t="str">
        <f>"2102706624"</f>
        <v>2102706624</v>
      </c>
      <c r="B1976" s="7" t="str">
        <f t="shared" si="106"/>
        <v>2021027</v>
      </c>
      <c r="C1976" s="7" t="str">
        <f t="shared" si="105"/>
        <v>066</v>
      </c>
      <c r="D1976" s="7" t="str">
        <f>"24"</f>
        <v>24</v>
      </c>
      <c r="E1976" s="8">
        <v>65.8</v>
      </c>
      <c r="F1976" s="7" t="s">
        <v>7</v>
      </c>
    </row>
    <row r="1977" s="2" customFormat="1" ht="14.1" customHeight="1" spans="1:6">
      <c r="A1977" s="7" t="str">
        <f>"2102706625"</f>
        <v>2102706625</v>
      </c>
      <c r="B1977" s="7" t="str">
        <f t="shared" si="106"/>
        <v>2021027</v>
      </c>
      <c r="C1977" s="7" t="str">
        <f t="shared" si="105"/>
        <v>066</v>
      </c>
      <c r="D1977" s="7" t="str">
        <f>"25"</f>
        <v>25</v>
      </c>
      <c r="E1977" s="8">
        <v>57.3</v>
      </c>
      <c r="F1977" s="7" t="s">
        <v>7</v>
      </c>
    </row>
    <row r="1978" s="2" customFormat="1" ht="14.1" customHeight="1" spans="1:6">
      <c r="A1978" s="7" t="str">
        <f>"2102706626"</f>
        <v>2102706626</v>
      </c>
      <c r="B1978" s="7" t="str">
        <f t="shared" si="106"/>
        <v>2021027</v>
      </c>
      <c r="C1978" s="7" t="str">
        <f t="shared" si="105"/>
        <v>066</v>
      </c>
      <c r="D1978" s="7" t="str">
        <f>"26"</f>
        <v>26</v>
      </c>
      <c r="E1978" s="8">
        <v>71.2</v>
      </c>
      <c r="F1978" s="7" t="s">
        <v>7</v>
      </c>
    </row>
    <row r="1979" s="2" customFormat="1" ht="14.1" customHeight="1" spans="1:6">
      <c r="A1979" s="7" t="str">
        <f>"2102706627"</f>
        <v>2102706627</v>
      </c>
      <c r="B1979" s="7" t="str">
        <f t="shared" si="106"/>
        <v>2021027</v>
      </c>
      <c r="C1979" s="7" t="str">
        <f t="shared" si="105"/>
        <v>066</v>
      </c>
      <c r="D1979" s="7" t="str">
        <f>"27"</f>
        <v>27</v>
      </c>
      <c r="E1979" s="8">
        <v>62.1</v>
      </c>
      <c r="F1979" s="7" t="s">
        <v>7</v>
      </c>
    </row>
    <row r="1980" s="2" customFormat="1" ht="14.1" customHeight="1" spans="1:6">
      <c r="A1980" s="7" t="str">
        <f>"2102706628"</f>
        <v>2102706628</v>
      </c>
      <c r="B1980" s="7" t="str">
        <f t="shared" si="106"/>
        <v>2021027</v>
      </c>
      <c r="C1980" s="7" t="str">
        <f t="shared" si="105"/>
        <v>066</v>
      </c>
      <c r="D1980" s="7" t="str">
        <f>"28"</f>
        <v>28</v>
      </c>
      <c r="E1980" s="8">
        <v>0</v>
      </c>
      <c r="F1980" s="7" t="s">
        <v>8</v>
      </c>
    </row>
    <row r="1981" s="2" customFormat="1" ht="14.1" customHeight="1" spans="1:6">
      <c r="A1981" s="7" t="str">
        <f>"2102706629"</f>
        <v>2102706629</v>
      </c>
      <c r="B1981" s="7" t="str">
        <f t="shared" si="106"/>
        <v>2021027</v>
      </c>
      <c r="C1981" s="7" t="str">
        <f t="shared" si="105"/>
        <v>066</v>
      </c>
      <c r="D1981" s="7" t="str">
        <f>"29"</f>
        <v>29</v>
      </c>
      <c r="E1981" s="8">
        <v>0</v>
      </c>
      <c r="F1981" s="7" t="s">
        <v>8</v>
      </c>
    </row>
    <row r="1982" s="2" customFormat="1" ht="14.1" customHeight="1" spans="1:6">
      <c r="A1982" s="7" t="str">
        <f>"2102806630"</f>
        <v>2102806630</v>
      </c>
      <c r="B1982" s="7" t="str">
        <f t="shared" ref="B1982:B2022" si="107">"2021028"</f>
        <v>2021028</v>
      </c>
      <c r="C1982" s="7" t="str">
        <f t="shared" si="105"/>
        <v>066</v>
      </c>
      <c r="D1982" s="7" t="str">
        <f>"30"</f>
        <v>30</v>
      </c>
      <c r="E1982" s="8">
        <v>67</v>
      </c>
      <c r="F1982" s="7" t="s">
        <v>7</v>
      </c>
    </row>
    <row r="1983" s="2" customFormat="1" ht="14.1" customHeight="1" spans="1:6">
      <c r="A1983" s="7" t="str">
        <f>"2102806701"</f>
        <v>2102806701</v>
      </c>
      <c r="B1983" s="7" t="str">
        <f t="shared" si="107"/>
        <v>2021028</v>
      </c>
      <c r="C1983" s="7" t="str">
        <f t="shared" ref="C1983:C2012" si="108">"067"</f>
        <v>067</v>
      </c>
      <c r="D1983" s="7" t="str">
        <f>"01"</f>
        <v>01</v>
      </c>
      <c r="E1983" s="8">
        <v>62.6</v>
      </c>
      <c r="F1983" s="7" t="s">
        <v>7</v>
      </c>
    </row>
    <row r="1984" s="2" customFormat="1" ht="14.1" customHeight="1" spans="1:6">
      <c r="A1984" s="7" t="str">
        <f>"2102806702"</f>
        <v>2102806702</v>
      </c>
      <c r="B1984" s="7" t="str">
        <f t="shared" si="107"/>
        <v>2021028</v>
      </c>
      <c r="C1984" s="7" t="str">
        <f t="shared" si="108"/>
        <v>067</v>
      </c>
      <c r="D1984" s="7" t="str">
        <f>"02"</f>
        <v>02</v>
      </c>
      <c r="E1984" s="8">
        <v>0</v>
      </c>
      <c r="F1984" s="7" t="s">
        <v>8</v>
      </c>
    </row>
    <row r="1985" s="2" customFormat="1" ht="14.1" customHeight="1" spans="1:6">
      <c r="A1985" s="7" t="str">
        <f>"2102806703"</f>
        <v>2102806703</v>
      </c>
      <c r="B1985" s="7" t="str">
        <f t="shared" si="107"/>
        <v>2021028</v>
      </c>
      <c r="C1985" s="7" t="str">
        <f t="shared" si="108"/>
        <v>067</v>
      </c>
      <c r="D1985" s="7" t="str">
        <f>"03"</f>
        <v>03</v>
      </c>
      <c r="E1985" s="8">
        <v>61</v>
      </c>
      <c r="F1985" s="7" t="s">
        <v>7</v>
      </c>
    </row>
    <row r="1986" s="2" customFormat="1" ht="14.1" customHeight="1" spans="1:6">
      <c r="A1986" s="7" t="str">
        <f>"2102806704"</f>
        <v>2102806704</v>
      </c>
      <c r="B1986" s="7" t="str">
        <f t="shared" si="107"/>
        <v>2021028</v>
      </c>
      <c r="C1986" s="7" t="str">
        <f t="shared" si="108"/>
        <v>067</v>
      </c>
      <c r="D1986" s="7" t="str">
        <f>"04"</f>
        <v>04</v>
      </c>
      <c r="E1986" s="8">
        <v>0</v>
      </c>
      <c r="F1986" s="7" t="s">
        <v>8</v>
      </c>
    </row>
    <row r="1987" s="2" customFormat="1" ht="14.1" customHeight="1" spans="1:6">
      <c r="A1987" s="7" t="str">
        <f>"2102806705"</f>
        <v>2102806705</v>
      </c>
      <c r="B1987" s="7" t="str">
        <f t="shared" si="107"/>
        <v>2021028</v>
      </c>
      <c r="C1987" s="7" t="str">
        <f t="shared" si="108"/>
        <v>067</v>
      </c>
      <c r="D1987" s="7" t="str">
        <f>"05"</f>
        <v>05</v>
      </c>
      <c r="E1987" s="8">
        <v>0</v>
      </c>
      <c r="F1987" s="7" t="s">
        <v>8</v>
      </c>
    </row>
    <row r="1988" s="2" customFormat="1" ht="14.1" customHeight="1" spans="1:6">
      <c r="A1988" s="7" t="str">
        <f>"2102806706"</f>
        <v>2102806706</v>
      </c>
      <c r="B1988" s="7" t="str">
        <f t="shared" si="107"/>
        <v>2021028</v>
      </c>
      <c r="C1988" s="7" t="str">
        <f t="shared" si="108"/>
        <v>067</v>
      </c>
      <c r="D1988" s="7" t="str">
        <f>"06"</f>
        <v>06</v>
      </c>
      <c r="E1988" s="8">
        <v>0</v>
      </c>
      <c r="F1988" s="7" t="s">
        <v>8</v>
      </c>
    </row>
    <row r="1989" s="2" customFormat="1" ht="14.1" customHeight="1" spans="1:6">
      <c r="A1989" s="7" t="str">
        <f>"2102806707"</f>
        <v>2102806707</v>
      </c>
      <c r="B1989" s="7" t="str">
        <f t="shared" si="107"/>
        <v>2021028</v>
      </c>
      <c r="C1989" s="7" t="str">
        <f t="shared" si="108"/>
        <v>067</v>
      </c>
      <c r="D1989" s="7" t="str">
        <f>"07"</f>
        <v>07</v>
      </c>
      <c r="E1989" s="8">
        <v>66.3</v>
      </c>
      <c r="F1989" s="7" t="s">
        <v>7</v>
      </c>
    </row>
    <row r="1990" s="2" customFormat="1" ht="14.1" customHeight="1" spans="1:6">
      <c r="A1990" s="7" t="str">
        <f>"2102806708"</f>
        <v>2102806708</v>
      </c>
      <c r="B1990" s="7" t="str">
        <f t="shared" si="107"/>
        <v>2021028</v>
      </c>
      <c r="C1990" s="7" t="str">
        <f t="shared" si="108"/>
        <v>067</v>
      </c>
      <c r="D1990" s="7" t="str">
        <f>"08"</f>
        <v>08</v>
      </c>
      <c r="E1990" s="8">
        <v>0</v>
      </c>
      <c r="F1990" s="7" t="s">
        <v>8</v>
      </c>
    </row>
    <row r="1991" s="2" customFormat="1" ht="14.1" customHeight="1" spans="1:6">
      <c r="A1991" s="7" t="str">
        <f>"2102806709"</f>
        <v>2102806709</v>
      </c>
      <c r="B1991" s="7" t="str">
        <f t="shared" si="107"/>
        <v>2021028</v>
      </c>
      <c r="C1991" s="7" t="str">
        <f t="shared" si="108"/>
        <v>067</v>
      </c>
      <c r="D1991" s="7" t="str">
        <f>"09"</f>
        <v>09</v>
      </c>
      <c r="E1991" s="8">
        <v>64.4</v>
      </c>
      <c r="F1991" s="7" t="s">
        <v>7</v>
      </c>
    </row>
    <row r="1992" s="2" customFormat="1" ht="14.1" customHeight="1" spans="1:6">
      <c r="A1992" s="7" t="str">
        <f>"2102806710"</f>
        <v>2102806710</v>
      </c>
      <c r="B1992" s="7" t="str">
        <f t="shared" si="107"/>
        <v>2021028</v>
      </c>
      <c r="C1992" s="7" t="str">
        <f t="shared" si="108"/>
        <v>067</v>
      </c>
      <c r="D1992" s="7" t="str">
        <f>"10"</f>
        <v>10</v>
      </c>
      <c r="E1992" s="8">
        <v>70.5</v>
      </c>
      <c r="F1992" s="7" t="s">
        <v>7</v>
      </c>
    </row>
    <row r="1993" s="2" customFormat="1" ht="14.1" customHeight="1" spans="1:6">
      <c r="A1993" s="7" t="str">
        <f>"2102806711"</f>
        <v>2102806711</v>
      </c>
      <c r="B1993" s="7" t="str">
        <f t="shared" si="107"/>
        <v>2021028</v>
      </c>
      <c r="C1993" s="7" t="str">
        <f t="shared" si="108"/>
        <v>067</v>
      </c>
      <c r="D1993" s="7" t="str">
        <f>"11"</f>
        <v>11</v>
      </c>
      <c r="E1993" s="8">
        <v>0</v>
      </c>
      <c r="F1993" s="7" t="s">
        <v>8</v>
      </c>
    </row>
    <row r="1994" s="2" customFormat="1" ht="14.1" customHeight="1" spans="1:6">
      <c r="A1994" s="7" t="str">
        <f>"2102806712"</f>
        <v>2102806712</v>
      </c>
      <c r="B1994" s="7" t="str">
        <f t="shared" si="107"/>
        <v>2021028</v>
      </c>
      <c r="C1994" s="7" t="str">
        <f t="shared" si="108"/>
        <v>067</v>
      </c>
      <c r="D1994" s="7" t="str">
        <f>"12"</f>
        <v>12</v>
      </c>
      <c r="E1994" s="8">
        <v>65.4</v>
      </c>
      <c r="F1994" s="7" t="s">
        <v>7</v>
      </c>
    </row>
    <row r="1995" s="2" customFormat="1" ht="14.1" customHeight="1" spans="1:6">
      <c r="A1995" s="7" t="str">
        <f>"2102806713"</f>
        <v>2102806713</v>
      </c>
      <c r="B1995" s="7" t="str">
        <f t="shared" si="107"/>
        <v>2021028</v>
      </c>
      <c r="C1995" s="7" t="str">
        <f t="shared" si="108"/>
        <v>067</v>
      </c>
      <c r="D1995" s="7" t="str">
        <f>"13"</f>
        <v>13</v>
      </c>
      <c r="E1995" s="8">
        <v>56.5</v>
      </c>
      <c r="F1995" s="7" t="s">
        <v>7</v>
      </c>
    </row>
    <row r="1996" s="2" customFormat="1" ht="14.1" customHeight="1" spans="1:6">
      <c r="A1996" s="7" t="str">
        <f>"2102806714"</f>
        <v>2102806714</v>
      </c>
      <c r="B1996" s="7" t="str">
        <f t="shared" si="107"/>
        <v>2021028</v>
      </c>
      <c r="C1996" s="7" t="str">
        <f t="shared" si="108"/>
        <v>067</v>
      </c>
      <c r="D1996" s="7" t="str">
        <f>"14"</f>
        <v>14</v>
      </c>
      <c r="E1996" s="8">
        <v>60.7</v>
      </c>
      <c r="F1996" s="7" t="s">
        <v>7</v>
      </c>
    </row>
    <row r="1997" s="2" customFormat="1" ht="14.1" customHeight="1" spans="1:6">
      <c r="A1997" s="7" t="str">
        <f>"2102806715"</f>
        <v>2102806715</v>
      </c>
      <c r="B1997" s="7" t="str">
        <f t="shared" si="107"/>
        <v>2021028</v>
      </c>
      <c r="C1997" s="7" t="str">
        <f t="shared" si="108"/>
        <v>067</v>
      </c>
      <c r="D1997" s="7" t="str">
        <f>"15"</f>
        <v>15</v>
      </c>
      <c r="E1997" s="8">
        <v>68.2</v>
      </c>
      <c r="F1997" s="7" t="s">
        <v>7</v>
      </c>
    </row>
    <row r="1998" s="2" customFormat="1" ht="14.1" customHeight="1" spans="1:6">
      <c r="A1998" s="7" t="str">
        <f>"2102806716"</f>
        <v>2102806716</v>
      </c>
      <c r="B1998" s="7" t="str">
        <f t="shared" si="107"/>
        <v>2021028</v>
      </c>
      <c r="C1998" s="7" t="str">
        <f t="shared" si="108"/>
        <v>067</v>
      </c>
      <c r="D1998" s="7" t="str">
        <f>"16"</f>
        <v>16</v>
      </c>
      <c r="E1998" s="8">
        <v>63.1</v>
      </c>
      <c r="F1998" s="7" t="s">
        <v>7</v>
      </c>
    </row>
    <row r="1999" s="2" customFormat="1" ht="14.1" customHeight="1" spans="1:6">
      <c r="A1999" s="7" t="str">
        <f>"2102806717"</f>
        <v>2102806717</v>
      </c>
      <c r="B1999" s="7" t="str">
        <f t="shared" si="107"/>
        <v>2021028</v>
      </c>
      <c r="C1999" s="7" t="str">
        <f t="shared" si="108"/>
        <v>067</v>
      </c>
      <c r="D1999" s="7" t="str">
        <f>"17"</f>
        <v>17</v>
      </c>
      <c r="E1999" s="8">
        <v>59.1</v>
      </c>
      <c r="F1999" s="7" t="s">
        <v>7</v>
      </c>
    </row>
    <row r="2000" s="2" customFormat="1" ht="14.1" customHeight="1" spans="1:6">
      <c r="A2000" s="7" t="str">
        <f>"2102806718"</f>
        <v>2102806718</v>
      </c>
      <c r="B2000" s="7" t="str">
        <f t="shared" si="107"/>
        <v>2021028</v>
      </c>
      <c r="C2000" s="7" t="str">
        <f t="shared" si="108"/>
        <v>067</v>
      </c>
      <c r="D2000" s="7" t="str">
        <f>"18"</f>
        <v>18</v>
      </c>
      <c r="E2000" s="8">
        <v>0</v>
      </c>
      <c r="F2000" s="7" t="s">
        <v>8</v>
      </c>
    </row>
    <row r="2001" s="2" customFormat="1" ht="14.1" customHeight="1" spans="1:6">
      <c r="A2001" s="7" t="str">
        <f>"2102806719"</f>
        <v>2102806719</v>
      </c>
      <c r="B2001" s="7" t="str">
        <f t="shared" si="107"/>
        <v>2021028</v>
      </c>
      <c r="C2001" s="7" t="str">
        <f t="shared" si="108"/>
        <v>067</v>
      </c>
      <c r="D2001" s="7" t="str">
        <f>"19"</f>
        <v>19</v>
      </c>
      <c r="E2001" s="8">
        <v>62.4</v>
      </c>
      <c r="F2001" s="7" t="s">
        <v>7</v>
      </c>
    </row>
    <row r="2002" s="2" customFormat="1" ht="14.1" customHeight="1" spans="1:6">
      <c r="A2002" s="7" t="str">
        <f>"2102806720"</f>
        <v>2102806720</v>
      </c>
      <c r="B2002" s="7" t="str">
        <f t="shared" si="107"/>
        <v>2021028</v>
      </c>
      <c r="C2002" s="7" t="str">
        <f t="shared" si="108"/>
        <v>067</v>
      </c>
      <c r="D2002" s="7" t="str">
        <f>"20"</f>
        <v>20</v>
      </c>
      <c r="E2002" s="8">
        <v>0</v>
      </c>
      <c r="F2002" s="7" t="s">
        <v>8</v>
      </c>
    </row>
    <row r="2003" s="2" customFormat="1" ht="14.1" customHeight="1" spans="1:6">
      <c r="A2003" s="7" t="str">
        <f>"2102806721"</f>
        <v>2102806721</v>
      </c>
      <c r="B2003" s="7" t="str">
        <f t="shared" si="107"/>
        <v>2021028</v>
      </c>
      <c r="C2003" s="7" t="str">
        <f t="shared" si="108"/>
        <v>067</v>
      </c>
      <c r="D2003" s="7" t="str">
        <f>"21"</f>
        <v>21</v>
      </c>
      <c r="E2003" s="8">
        <v>0</v>
      </c>
      <c r="F2003" s="7" t="s">
        <v>8</v>
      </c>
    </row>
    <row r="2004" s="2" customFormat="1" ht="14.1" customHeight="1" spans="1:6">
      <c r="A2004" s="7" t="str">
        <f>"2102806722"</f>
        <v>2102806722</v>
      </c>
      <c r="B2004" s="7" t="str">
        <f t="shared" si="107"/>
        <v>2021028</v>
      </c>
      <c r="C2004" s="7" t="str">
        <f t="shared" si="108"/>
        <v>067</v>
      </c>
      <c r="D2004" s="7" t="str">
        <f>"22"</f>
        <v>22</v>
      </c>
      <c r="E2004" s="8">
        <v>68.9</v>
      </c>
      <c r="F2004" s="7" t="s">
        <v>7</v>
      </c>
    </row>
    <row r="2005" s="2" customFormat="1" ht="14.1" customHeight="1" spans="1:6">
      <c r="A2005" s="7" t="str">
        <f>"2102806723"</f>
        <v>2102806723</v>
      </c>
      <c r="B2005" s="7" t="str">
        <f t="shared" si="107"/>
        <v>2021028</v>
      </c>
      <c r="C2005" s="7" t="str">
        <f t="shared" si="108"/>
        <v>067</v>
      </c>
      <c r="D2005" s="7" t="str">
        <f>"23"</f>
        <v>23</v>
      </c>
      <c r="E2005" s="8">
        <v>0</v>
      </c>
      <c r="F2005" s="7" t="s">
        <v>8</v>
      </c>
    </row>
    <row r="2006" s="2" customFormat="1" ht="14.1" customHeight="1" spans="1:6">
      <c r="A2006" s="7" t="str">
        <f>"2102806724"</f>
        <v>2102806724</v>
      </c>
      <c r="B2006" s="7" t="str">
        <f t="shared" si="107"/>
        <v>2021028</v>
      </c>
      <c r="C2006" s="7" t="str">
        <f t="shared" si="108"/>
        <v>067</v>
      </c>
      <c r="D2006" s="7" t="str">
        <f>"24"</f>
        <v>24</v>
      </c>
      <c r="E2006" s="8">
        <v>0</v>
      </c>
      <c r="F2006" s="7" t="s">
        <v>8</v>
      </c>
    </row>
    <row r="2007" s="2" customFormat="1" ht="14.1" customHeight="1" spans="1:6">
      <c r="A2007" s="7" t="str">
        <f>"2102806725"</f>
        <v>2102806725</v>
      </c>
      <c r="B2007" s="7" t="str">
        <f t="shared" si="107"/>
        <v>2021028</v>
      </c>
      <c r="C2007" s="7" t="str">
        <f t="shared" si="108"/>
        <v>067</v>
      </c>
      <c r="D2007" s="7" t="str">
        <f>"25"</f>
        <v>25</v>
      </c>
      <c r="E2007" s="8">
        <v>66.7</v>
      </c>
      <c r="F2007" s="7" t="s">
        <v>7</v>
      </c>
    </row>
    <row r="2008" s="2" customFormat="1" ht="14.1" customHeight="1" spans="1:6">
      <c r="A2008" s="7" t="str">
        <f>"2102806726"</f>
        <v>2102806726</v>
      </c>
      <c r="B2008" s="7" t="str">
        <f t="shared" si="107"/>
        <v>2021028</v>
      </c>
      <c r="C2008" s="7" t="str">
        <f t="shared" si="108"/>
        <v>067</v>
      </c>
      <c r="D2008" s="7" t="str">
        <f>"26"</f>
        <v>26</v>
      </c>
      <c r="E2008" s="8">
        <v>65.7</v>
      </c>
      <c r="F2008" s="7" t="s">
        <v>7</v>
      </c>
    </row>
    <row r="2009" s="2" customFormat="1" ht="14.1" customHeight="1" spans="1:6">
      <c r="A2009" s="7" t="str">
        <f>"2102806727"</f>
        <v>2102806727</v>
      </c>
      <c r="B2009" s="7" t="str">
        <f t="shared" si="107"/>
        <v>2021028</v>
      </c>
      <c r="C2009" s="7" t="str">
        <f t="shared" si="108"/>
        <v>067</v>
      </c>
      <c r="D2009" s="7" t="str">
        <f>"27"</f>
        <v>27</v>
      </c>
      <c r="E2009" s="8">
        <v>50.8</v>
      </c>
      <c r="F2009" s="7" t="s">
        <v>7</v>
      </c>
    </row>
    <row r="2010" s="2" customFormat="1" ht="14.1" customHeight="1" spans="1:6">
      <c r="A2010" s="7" t="str">
        <f>"2102806728"</f>
        <v>2102806728</v>
      </c>
      <c r="B2010" s="7" t="str">
        <f t="shared" si="107"/>
        <v>2021028</v>
      </c>
      <c r="C2010" s="7" t="str">
        <f t="shared" si="108"/>
        <v>067</v>
      </c>
      <c r="D2010" s="7" t="str">
        <f>"28"</f>
        <v>28</v>
      </c>
      <c r="E2010" s="8">
        <v>58</v>
      </c>
      <c r="F2010" s="7" t="s">
        <v>7</v>
      </c>
    </row>
    <row r="2011" s="2" customFormat="1" ht="14.1" customHeight="1" spans="1:6">
      <c r="A2011" s="7" t="str">
        <f>"2102806729"</f>
        <v>2102806729</v>
      </c>
      <c r="B2011" s="7" t="str">
        <f t="shared" si="107"/>
        <v>2021028</v>
      </c>
      <c r="C2011" s="7" t="str">
        <f t="shared" si="108"/>
        <v>067</v>
      </c>
      <c r="D2011" s="7" t="str">
        <f>"29"</f>
        <v>29</v>
      </c>
      <c r="E2011" s="8">
        <v>0</v>
      </c>
      <c r="F2011" s="7" t="s">
        <v>8</v>
      </c>
    </row>
    <row r="2012" s="2" customFormat="1" ht="14.1" customHeight="1" spans="1:6">
      <c r="A2012" s="7" t="str">
        <f>"2102806730"</f>
        <v>2102806730</v>
      </c>
      <c r="B2012" s="7" t="str">
        <f t="shared" si="107"/>
        <v>2021028</v>
      </c>
      <c r="C2012" s="7" t="str">
        <f t="shared" si="108"/>
        <v>067</v>
      </c>
      <c r="D2012" s="7" t="str">
        <f>"30"</f>
        <v>30</v>
      </c>
      <c r="E2012" s="8">
        <v>0</v>
      </c>
      <c r="F2012" s="7" t="s">
        <v>8</v>
      </c>
    </row>
    <row r="2013" s="2" customFormat="1" ht="14.1" customHeight="1" spans="1:6">
      <c r="A2013" s="7" t="str">
        <f>"2102806801"</f>
        <v>2102806801</v>
      </c>
      <c r="B2013" s="7" t="str">
        <f t="shared" si="107"/>
        <v>2021028</v>
      </c>
      <c r="C2013" s="7" t="str">
        <f t="shared" ref="C2013:C2038" si="109">"068"</f>
        <v>068</v>
      </c>
      <c r="D2013" s="7" t="str">
        <f>"01"</f>
        <v>01</v>
      </c>
      <c r="E2013" s="8">
        <v>76.8</v>
      </c>
      <c r="F2013" s="7" t="s">
        <v>7</v>
      </c>
    </row>
    <row r="2014" s="2" customFormat="1" ht="14.1" customHeight="1" spans="1:6">
      <c r="A2014" s="7" t="str">
        <f>"2102806802"</f>
        <v>2102806802</v>
      </c>
      <c r="B2014" s="7" t="str">
        <f t="shared" si="107"/>
        <v>2021028</v>
      </c>
      <c r="C2014" s="7" t="str">
        <f t="shared" si="109"/>
        <v>068</v>
      </c>
      <c r="D2014" s="7" t="str">
        <f>"02"</f>
        <v>02</v>
      </c>
      <c r="E2014" s="8">
        <v>67.5</v>
      </c>
      <c r="F2014" s="7" t="s">
        <v>7</v>
      </c>
    </row>
    <row r="2015" s="2" customFormat="1" ht="14.1" customHeight="1" spans="1:6">
      <c r="A2015" s="7" t="str">
        <f>"2102806803"</f>
        <v>2102806803</v>
      </c>
      <c r="B2015" s="7" t="str">
        <f t="shared" si="107"/>
        <v>2021028</v>
      </c>
      <c r="C2015" s="7" t="str">
        <f t="shared" si="109"/>
        <v>068</v>
      </c>
      <c r="D2015" s="7" t="str">
        <f>"03"</f>
        <v>03</v>
      </c>
      <c r="E2015" s="8">
        <v>0</v>
      </c>
      <c r="F2015" s="7" t="s">
        <v>8</v>
      </c>
    </row>
    <row r="2016" s="2" customFormat="1" ht="14.1" customHeight="1" spans="1:6">
      <c r="A2016" s="7" t="str">
        <f>"2102806804"</f>
        <v>2102806804</v>
      </c>
      <c r="B2016" s="7" t="str">
        <f t="shared" si="107"/>
        <v>2021028</v>
      </c>
      <c r="C2016" s="7" t="str">
        <f t="shared" si="109"/>
        <v>068</v>
      </c>
      <c r="D2016" s="7" t="str">
        <f>"04"</f>
        <v>04</v>
      </c>
      <c r="E2016" s="8">
        <v>74.2</v>
      </c>
      <c r="F2016" s="7" t="s">
        <v>7</v>
      </c>
    </row>
    <row r="2017" s="2" customFormat="1" ht="14.1" customHeight="1" spans="1:6">
      <c r="A2017" s="7" t="str">
        <f>"2102806805"</f>
        <v>2102806805</v>
      </c>
      <c r="B2017" s="7" t="str">
        <f t="shared" si="107"/>
        <v>2021028</v>
      </c>
      <c r="C2017" s="7" t="str">
        <f t="shared" si="109"/>
        <v>068</v>
      </c>
      <c r="D2017" s="7" t="str">
        <f>"05"</f>
        <v>05</v>
      </c>
      <c r="E2017" s="8">
        <v>0</v>
      </c>
      <c r="F2017" s="7" t="s">
        <v>8</v>
      </c>
    </row>
    <row r="2018" s="2" customFormat="1" ht="14.1" customHeight="1" spans="1:6">
      <c r="A2018" s="7" t="str">
        <f>"2102806806"</f>
        <v>2102806806</v>
      </c>
      <c r="B2018" s="7" t="str">
        <f t="shared" si="107"/>
        <v>2021028</v>
      </c>
      <c r="C2018" s="7" t="str">
        <f t="shared" si="109"/>
        <v>068</v>
      </c>
      <c r="D2018" s="7" t="str">
        <f>"06"</f>
        <v>06</v>
      </c>
      <c r="E2018" s="8">
        <v>62.8</v>
      </c>
      <c r="F2018" s="7" t="s">
        <v>7</v>
      </c>
    </row>
    <row r="2019" s="2" customFormat="1" ht="14.1" customHeight="1" spans="1:6">
      <c r="A2019" s="7" t="str">
        <f>"2102806807"</f>
        <v>2102806807</v>
      </c>
      <c r="B2019" s="7" t="str">
        <f t="shared" si="107"/>
        <v>2021028</v>
      </c>
      <c r="C2019" s="7" t="str">
        <f t="shared" si="109"/>
        <v>068</v>
      </c>
      <c r="D2019" s="7" t="str">
        <f>"07"</f>
        <v>07</v>
      </c>
      <c r="E2019" s="8">
        <v>50.6</v>
      </c>
      <c r="F2019" s="7" t="s">
        <v>7</v>
      </c>
    </row>
    <row r="2020" s="2" customFormat="1" ht="14.1" customHeight="1" spans="1:6">
      <c r="A2020" s="7" t="str">
        <f>"2102806808"</f>
        <v>2102806808</v>
      </c>
      <c r="B2020" s="7" t="str">
        <f t="shared" si="107"/>
        <v>2021028</v>
      </c>
      <c r="C2020" s="7" t="str">
        <f t="shared" si="109"/>
        <v>068</v>
      </c>
      <c r="D2020" s="7" t="str">
        <f>"08"</f>
        <v>08</v>
      </c>
      <c r="E2020" s="8">
        <v>0</v>
      </c>
      <c r="F2020" s="7" t="s">
        <v>8</v>
      </c>
    </row>
    <row r="2021" s="2" customFormat="1" ht="14.1" customHeight="1" spans="1:6">
      <c r="A2021" s="7" t="str">
        <f>"2102806809"</f>
        <v>2102806809</v>
      </c>
      <c r="B2021" s="7" t="str">
        <f t="shared" si="107"/>
        <v>2021028</v>
      </c>
      <c r="C2021" s="7" t="str">
        <f t="shared" si="109"/>
        <v>068</v>
      </c>
      <c r="D2021" s="7" t="str">
        <f>"09"</f>
        <v>09</v>
      </c>
      <c r="E2021" s="8">
        <v>59.3</v>
      </c>
      <c r="F2021" s="7" t="s">
        <v>7</v>
      </c>
    </row>
    <row r="2022" s="2" customFormat="1" ht="14.1" customHeight="1" spans="1:6">
      <c r="A2022" s="7" t="str">
        <f>"2102806810"</f>
        <v>2102806810</v>
      </c>
      <c r="B2022" s="7" t="str">
        <f t="shared" si="107"/>
        <v>2021028</v>
      </c>
      <c r="C2022" s="7" t="str">
        <f t="shared" si="109"/>
        <v>068</v>
      </c>
      <c r="D2022" s="7" t="str">
        <f>"10"</f>
        <v>10</v>
      </c>
      <c r="E2022" s="8">
        <v>0</v>
      </c>
      <c r="F2022" s="7" t="s">
        <v>8</v>
      </c>
    </row>
    <row r="2023" s="2" customFormat="1" ht="14.1" customHeight="1" spans="1:6">
      <c r="A2023" s="7" t="str">
        <f>"2102906811"</f>
        <v>2102906811</v>
      </c>
      <c r="B2023" s="7" t="str">
        <f t="shared" ref="B2023:B2035" si="110">"2021029"</f>
        <v>2021029</v>
      </c>
      <c r="C2023" s="7" t="str">
        <f t="shared" si="109"/>
        <v>068</v>
      </c>
      <c r="D2023" s="7" t="str">
        <f>"11"</f>
        <v>11</v>
      </c>
      <c r="E2023" s="8">
        <v>56.8</v>
      </c>
      <c r="F2023" s="7" t="s">
        <v>7</v>
      </c>
    </row>
    <row r="2024" s="2" customFormat="1" ht="14.1" customHeight="1" spans="1:6">
      <c r="A2024" s="7" t="str">
        <f>"2102906812"</f>
        <v>2102906812</v>
      </c>
      <c r="B2024" s="7" t="str">
        <f t="shared" si="110"/>
        <v>2021029</v>
      </c>
      <c r="C2024" s="7" t="str">
        <f t="shared" si="109"/>
        <v>068</v>
      </c>
      <c r="D2024" s="7" t="str">
        <f>"12"</f>
        <v>12</v>
      </c>
      <c r="E2024" s="8">
        <v>0</v>
      </c>
      <c r="F2024" s="7" t="s">
        <v>8</v>
      </c>
    </row>
    <row r="2025" s="2" customFormat="1" ht="14.1" customHeight="1" spans="1:6">
      <c r="A2025" s="7" t="str">
        <f>"2102906813"</f>
        <v>2102906813</v>
      </c>
      <c r="B2025" s="7" t="str">
        <f t="shared" si="110"/>
        <v>2021029</v>
      </c>
      <c r="C2025" s="7" t="str">
        <f t="shared" si="109"/>
        <v>068</v>
      </c>
      <c r="D2025" s="7" t="str">
        <f>"13"</f>
        <v>13</v>
      </c>
      <c r="E2025" s="8">
        <v>68.2</v>
      </c>
      <c r="F2025" s="7" t="s">
        <v>7</v>
      </c>
    </row>
    <row r="2026" s="2" customFormat="1" ht="14.1" customHeight="1" spans="1:6">
      <c r="A2026" s="7" t="str">
        <f>"2102906814"</f>
        <v>2102906814</v>
      </c>
      <c r="B2026" s="7" t="str">
        <f t="shared" si="110"/>
        <v>2021029</v>
      </c>
      <c r="C2026" s="7" t="str">
        <f t="shared" si="109"/>
        <v>068</v>
      </c>
      <c r="D2026" s="7" t="str">
        <f>"14"</f>
        <v>14</v>
      </c>
      <c r="E2026" s="8">
        <v>55.5</v>
      </c>
      <c r="F2026" s="7" t="s">
        <v>7</v>
      </c>
    </row>
    <row r="2027" s="2" customFormat="1" ht="14.1" customHeight="1" spans="1:6">
      <c r="A2027" s="7" t="str">
        <f>"2102906815"</f>
        <v>2102906815</v>
      </c>
      <c r="B2027" s="7" t="str">
        <f t="shared" si="110"/>
        <v>2021029</v>
      </c>
      <c r="C2027" s="7" t="str">
        <f t="shared" si="109"/>
        <v>068</v>
      </c>
      <c r="D2027" s="7" t="str">
        <f>"15"</f>
        <v>15</v>
      </c>
      <c r="E2027" s="8">
        <v>65.4</v>
      </c>
      <c r="F2027" s="7" t="s">
        <v>7</v>
      </c>
    </row>
    <row r="2028" s="2" customFormat="1" ht="14.1" customHeight="1" spans="1:6">
      <c r="A2028" s="7" t="str">
        <f>"2102906816"</f>
        <v>2102906816</v>
      </c>
      <c r="B2028" s="7" t="str">
        <f t="shared" si="110"/>
        <v>2021029</v>
      </c>
      <c r="C2028" s="7" t="str">
        <f t="shared" si="109"/>
        <v>068</v>
      </c>
      <c r="D2028" s="7" t="str">
        <f>"16"</f>
        <v>16</v>
      </c>
      <c r="E2028" s="8">
        <v>71</v>
      </c>
      <c r="F2028" s="7" t="s">
        <v>7</v>
      </c>
    </row>
    <row r="2029" s="2" customFormat="1" ht="14.1" customHeight="1" spans="1:6">
      <c r="A2029" s="7" t="str">
        <f>"2102906817"</f>
        <v>2102906817</v>
      </c>
      <c r="B2029" s="7" t="str">
        <f t="shared" si="110"/>
        <v>2021029</v>
      </c>
      <c r="C2029" s="7" t="str">
        <f t="shared" si="109"/>
        <v>068</v>
      </c>
      <c r="D2029" s="7" t="str">
        <f>"17"</f>
        <v>17</v>
      </c>
      <c r="E2029" s="8">
        <v>68.2</v>
      </c>
      <c r="F2029" s="7" t="s">
        <v>7</v>
      </c>
    </row>
    <row r="2030" s="2" customFormat="1" ht="14.1" customHeight="1" spans="1:6">
      <c r="A2030" s="7" t="str">
        <f>"2102906818"</f>
        <v>2102906818</v>
      </c>
      <c r="B2030" s="7" t="str">
        <f t="shared" si="110"/>
        <v>2021029</v>
      </c>
      <c r="C2030" s="7" t="str">
        <f t="shared" si="109"/>
        <v>068</v>
      </c>
      <c r="D2030" s="7" t="str">
        <f>"18"</f>
        <v>18</v>
      </c>
      <c r="E2030" s="8">
        <v>66.3</v>
      </c>
      <c r="F2030" s="7" t="s">
        <v>7</v>
      </c>
    </row>
    <row r="2031" s="2" customFormat="1" ht="14.1" customHeight="1" spans="1:6">
      <c r="A2031" s="7" t="str">
        <f>"2102906819"</f>
        <v>2102906819</v>
      </c>
      <c r="B2031" s="7" t="str">
        <f t="shared" si="110"/>
        <v>2021029</v>
      </c>
      <c r="C2031" s="7" t="str">
        <f t="shared" si="109"/>
        <v>068</v>
      </c>
      <c r="D2031" s="7" t="str">
        <f>"19"</f>
        <v>19</v>
      </c>
      <c r="E2031" s="8">
        <v>0</v>
      </c>
      <c r="F2031" s="7" t="s">
        <v>8</v>
      </c>
    </row>
    <row r="2032" s="2" customFormat="1" ht="14.1" customHeight="1" spans="1:6">
      <c r="A2032" s="7" t="str">
        <f>"2102906820"</f>
        <v>2102906820</v>
      </c>
      <c r="B2032" s="7" t="str">
        <f t="shared" si="110"/>
        <v>2021029</v>
      </c>
      <c r="C2032" s="7" t="str">
        <f t="shared" si="109"/>
        <v>068</v>
      </c>
      <c r="D2032" s="7" t="str">
        <f>"20"</f>
        <v>20</v>
      </c>
      <c r="E2032" s="8">
        <v>70.6</v>
      </c>
      <c r="F2032" s="7" t="s">
        <v>7</v>
      </c>
    </row>
    <row r="2033" s="2" customFormat="1" ht="14.1" customHeight="1" spans="1:6">
      <c r="A2033" s="7" t="str">
        <f>"2102906821"</f>
        <v>2102906821</v>
      </c>
      <c r="B2033" s="7" t="str">
        <f t="shared" si="110"/>
        <v>2021029</v>
      </c>
      <c r="C2033" s="7" t="str">
        <f t="shared" si="109"/>
        <v>068</v>
      </c>
      <c r="D2033" s="7" t="str">
        <f>"21"</f>
        <v>21</v>
      </c>
      <c r="E2033" s="8">
        <v>57.5</v>
      </c>
      <c r="F2033" s="7" t="s">
        <v>7</v>
      </c>
    </row>
    <row r="2034" s="2" customFormat="1" ht="14.1" customHeight="1" spans="1:6">
      <c r="A2034" s="7" t="str">
        <f>"2102906822"</f>
        <v>2102906822</v>
      </c>
      <c r="B2034" s="7" t="str">
        <f t="shared" si="110"/>
        <v>2021029</v>
      </c>
      <c r="C2034" s="7" t="str">
        <f t="shared" si="109"/>
        <v>068</v>
      </c>
      <c r="D2034" s="7" t="str">
        <f>"22"</f>
        <v>22</v>
      </c>
      <c r="E2034" s="8">
        <v>64.1</v>
      </c>
      <c r="F2034" s="7" t="s">
        <v>7</v>
      </c>
    </row>
    <row r="2035" s="2" customFormat="1" ht="14.1" customHeight="1" spans="1:6">
      <c r="A2035" s="7" t="str">
        <f>"2102906823"</f>
        <v>2102906823</v>
      </c>
      <c r="B2035" s="7" t="str">
        <f t="shared" si="110"/>
        <v>2021029</v>
      </c>
      <c r="C2035" s="7" t="str">
        <f t="shared" si="109"/>
        <v>068</v>
      </c>
      <c r="D2035" s="7" t="str">
        <f>"23"</f>
        <v>23</v>
      </c>
      <c r="E2035" s="8">
        <v>75.4</v>
      </c>
      <c r="F2035" s="7" t="s">
        <v>7</v>
      </c>
    </row>
    <row r="2036" s="2" customFormat="1" ht="14.1" customHeight="1" spans="1:6">
      <c r="A2036" s="7" t="str">
        <f>"2103006824"</f>
        <v>2103006824</v>
      </c>
      <c r="B2036" s="7" t="str">
        <f t="shared" ref="B2036:B2038" si="111">"2021030"</f>
        <v>2021030</v>
      </c>
      <c r="C2036" s="7" t="str">
        <f t="shared" si="109"/>
        <v>068</v>
      </c>
      <c r="D2036" s="7" t="str">
        <f>"24"</f>
        <v>24</v>
      </c>
      <c r="E2036" s="8">
        <v>0</v>
      </c>
      <c r="F2036" s="7" t="s">
        <v>8</v>
      </c>
    </row>
    <row r="2037" s="2" customFormat="1" ht="14.1" customHeight="1" spans="1:6">
      <c r="A2037" s="7" t="str">
        <f>"2103006825"</f>
        <v>2103006825</v>
      </c>
      <c r="B2037" s="7" t="str">
        <f t="shared" si="111"/>
        <v>2021030</v>
      </c>
      <c r="C2037" s="7" t="str">
        <f t="shared" si="109"/>
        <v>068</v>
      </c>
      <c r="D2037" s="7" t="str">
        <f>"25"</f>
        <v>25</v>
      </c>
      <c r="E2037" s="8">
        <v>0</v>
      </c>
      <c r="F2037" s="7" t="s">
        <v>8</v>
      </c>
    </row>
    <row r="2038" s="2" customFormat="1" ht="14.1" customHeight="1" spans="1:6">
      <c r="A2038" s="7" t="str">
        <f>"2103006826"</f>
        <v>2103006826</v>
      </c>
      <c r="B2038" s="7" t="str">
        <f t="shared" si="111"/>
        <v>2021030</v>
      </c>
      <c r="C2038" s="7" t="str">
        <f t="shared" si="109"/>
        <v>068</v>
      </c>
      <c r="D2038" s="7" t="str">
        <f>"26"</f>
        <v>26</v>
      </c>
      <c r="E2038" s="8">
        <v>68.2</v>
      </c>
      <c r="F2038" s="7" t="s">
        <v>7</v>
      </c>
    </row>
  </sheetData>
  <mergeCells count="1">
    <mergeCell ref="A1:F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崔爱民</dc:creator>
  <cp:lastModifiedBy>晒太阳</cp:lastModifiedBy>
  <dcterms:created xsi:type="dcterms:W3CDTF">2021-07-07T08:50:00Z</dcterms:created>
  <dcterms:modified xsi:type="dcterms:W3CDTF">2021-07-07T09:02:01Z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8B09964CA00C48238F337E1FC92D55BC</vt:lpwstr>
  </property>
  <property fmtid="{D5CDD505-2E9C-101B-9397-08002B2CF9AE}" pid="3" name="KSOProductBuildVer">
    <vt:lpwstr>2052-11.3.0.9228</vt:lpwstr>
  </property>
</Properties>
</file>